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V:\BEWI\GAP 2023\"/>
    </mc:Choice>
  </mc:AlternateContent>
  <bookViews>
    <workbookView xWindow="0" yWindow="0" windowWidth="28800" windowHeight="11835"/>
  </bookViews>
  <sheets>
    <sheet name="Anleitung" sheetId="4" r:id="rId1"/>
    <sheet name="Betriebsdaten" sheetId="2" r:id="rId2"/>
    <sheet name="Rechner" sheetId="1" r:id="rId3"/>
    <sheet name="Ergebnisse" sheetId="3" r:id="rId4"/>
    <sheet name="Kombinationstabelle" sheetId="6" r:id="rId5"/>
  </sheets>
  <definedNames>
    <definedName name="_xlnm.Print_Area" localSheetId="3">Ergebnisse!$A$1:$H$126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34" i="1" l="1"/>
  <c r="AH33" i="1" s="1"/>
  <c r="J12" i="2" l="1"/>
  <c r="U60" i="1"/>
  <c r="U58" i="1"/>
  <c r="B54" i="1"/>
  <c r="T54" i="1" s="1"/>
  <c r="B52" i="1"/>
  <c r="T52" i="1" s="1"/>
  <c r="B60" i="1" l="1"/>
  <c r="T60" i="1" s="1"/>
  <c r="B58" i="1"/>
  <c r="T58" i="1" s="1"/>
  <c r="B56" i="1"/>
  <c r="C82" i="1" l="1"/>
  <c r="E82" i="1"/>
  <c r="E63" i="1"/>
  <c r="E62" i="1"/>
  <c r="C6" i="3" l="1"/>
  <c r="C44" i="1" l="1"/>
  <c r="E6" i="3"/>
  <c r="D6" i="3"/>
  <c r="B32" i="1"/>
  <c r="B34" i="1"/>
  <c r="Z59" i="1" s="1"/>
  <c r="AA59" i="1" s="1"/>
  <c r="B38" i="1"/>
  <c r="T56" i="1"/>
  <c r="B42" i="1"/>
  <c r="B36" i="1"/>
  <c r="B30" i="1"/>
  <c r="T28" i="1" l="1"/>
  <c r="E28" i="1" s="1"/>
  <c r="T44" i="1"/>
  <c r="T45" i="1" l="1"/>
  <c r="G12" i="2" l="1"/>
  <c r="C16" i="1" l="1"/>
  <c r="C14" i="1"/>
  <c r="L19" i="2"/>
  <c r="G18" i="2" l="1"/>
  <c r="G16" i="2"/>
  <c r="G14" i="2"/>
  <c r="E16" i="2"/>
  <c r="G9" i="2" l="1"/>
  <c r="G113" i="3" l="1"/>
  <c r="I100" i="1" l="1"/>
  <c r="H100" i="1"/>
  <c r="K62" i="1"/>
  <c r="L63" i="1" l="1"/>
  <c r="G111" i="3"/>
  <c r="G109" i="3"/>
  <c r="J62" i="1"/>
  <c r="M63" i="1"/>
  <c r="K63" i="1"/>
  <c r="J63" i="1"/>
  <c r="M62" i="1"/>
  <c r="L62" i="1"/>
  <c r="C20" i="1" l="1"/>
  <c r="E85" i="1"/>
  <c r="E86" i="1"/>
  <c r="B86" i="1"/>
  <c r="B85" i="1"/>
  <c r="B40" i="1"/>
  <c r="B89" i="1"/>
  <c r="B88" i="1"/>
  <c r="L82" i="1"/>
  <c r="G115" i="3"/>
  <c r="M82" i="1"/>
  <c r="J82" i="1"/>
  <c r="K82" i="1"/>
  <c r="E83" i="1"/>
  <c r="G117" i="3" s="1"/>
  <c r="T40" i="1" l="1"/>
  <c r="E40" i="1" s="1"/>
  <c r="J40" i="1" s="1"/>
  <c r="M83" i="1"/>
  <c r="L83" i="1"/>
  <c r="K83" i="1"/>
  <c r="J83" i="1"/>
  <c r="K40" i="1" l="1"/>
  <c r="M40" i="1"/>
  <c r="L40" i="1"/>
  <c r="E94" i="1"/>
  <c r="B94" i="1"/>
  <c r="B96" i="1"/>
  <c r="E96" i="1"/>
  <c r="M96" i="1" l="1"/>
  <c r="G134" i="3"/>
  <c r="K94" i="1"/>
  <c r="G132" i="3"/>
  <c r="L96" i="1"/>
  <c r="K96" i="1"/>
  <c r="J96" i="1"/>
  <c r="J94" i="1"/>
  <c r="M94" i="1"/>
  <c r="L94" i="1"/>
  <c r="H90" i="1"/>
  <c r="I97" i="1"/>
  <c r="H97" i="1"/>
  <c r="I90" i="1"/>
  <c r="J65" i="1"/>
  <c r="I66" i="1"/>
  <c r="H66" i="1"/>
  <c r="G11" i="2"/>
  <c r="G10" i="2"/>
  <c r="L97" i="1" l="1"/>
  <c r="E22" i="3" s="1"/>
  <c r="J97" i="1"/>
  <c r="C22" i="3" s="1"/>
  <c r="K97" i="1"/>
  <c r="D22" i="3" s="1"/>
  <c r="M97" i="1"/>
  <c r="F22" i="3" s="1"/>
  <c r="T36" i="1"/>
  <c r="E36" i="1" s="1"/>
  <c r="C105" i="3" s="1"/>
  <c r="T34" i="1"/>
  <c r="C103" i="3" s="1"/>
  <c r="M14" i="1"/>
  <c r="L14" i="1"/>
  <c r="K14" i="1"/>
  <c r="J14" i="1"/>
  <c r="I14" i="1"/>
  <c r="I16" i="1"/>
  <c r="H16" i="1"/>
  <c r="H14" i="1"/>
  <c r="E34" i="1" l="1"/>
  <c r="AF55" i="1"/>
  <c r="B47" i="1" s="1"/>
  <c r="F10" i="3" l="1"/>
  <c r="E10" i="3"/>
  <c r="F6" i="3"/>
  <c r="E89" i="1" l="1"/>
  <c r="G125" i="3" s="1"/>
  <c r="E88" i="1"/>
  <c r="G123" i="3" s="1"/>
  <c r="AF46" i="1"/>
  <c r="T47" i="1"/>
  <c r="E47" i="1" s="1"/>
  <c r="C117" i="3" s="1"/>
  <c r="T42" i="1"/>
  <c r="E42" i="1" s="1"/>
  <c r="C111" i="3" s="1"/>
  <c r="C97" i="3"/>
  <c r="G119" i="3" l="1"/>
  <c r="J85" i="1"/>
  <c r="K85" i="1"/>
  <c r="L85" i="1"/>
  <c r="M85" i="1"/>
  <c r="G121" i="3"/>
  <c r="K86" i="1"/>
  <c r="L86" i="1"/>
  <c r="M86" i="1"/>
  <c r="J86" i="1"/>
  <c r="B71" i="1"/>
  <c r="T71" i="1" s="1"/>
  <c r="B69" i="1"/>
  <c r="T69" i="1" s="1"/>
  <c r="L88" i="1"/>
  <c r="K88" i="1"/>
  <c r="J88" i="1"/>
  <c r="M88" i="1"/>
  <c r="M89" i="1"/>
  <c r="L89" i="1"/>
  <c r="K89" i="1"/>
  <c r="J89" i="1"/>
  <c r="C109" i="3"/>
  <c r="U75" i="1"/>
  <c r="B75" i="1" s="1"/>
  <c r="T75" i="1" s="1"/>
  <c r="U73" i="1"/>
  <c r="U77" i="1"/>
  <c r="E52" i="1"/>
  <c r="M47" i="1"/>
  <c r="L47" i="1"/>
  <c r="J47" i="1"/>
  <c r="K47" i="1"/>
  <c r="M42" i="1"/>
  <c r="L42" i="1"/>
  <c r="K42" i="1"/>
  <c r="J42" i="1"/>
  <c r="C19" i="1"/>
  <c r="C18" i="1"/>
  <c r="K21" i="1"/>
  <c r="L21" i="1"/>
  <c r="M21" i="1"/>
  <c r="J21" i="1"/>
  <c r="K19" i="1"/>
  <c r="L19" i="1"/>
  <c r="M19" i="1"/>
  <c r="J19" i="1"/>
  <c r="K52" i="1" l="1"/>
  <c r="L52" i="1"/>
  <c r="M52" i="1"/>
  <c r="J52" i="1"/>
  <c r="G99" i="3"/>
  <c r="E69" i="1"/>
  <c r="B73" i="1"/>
  <c r="T73" i="1" s="1"/>
  <c r="B77" i="1"/>
  <c r="T77" i="1" s="1"/>
  <c r="J90" i="1"/>
  <c r="C21" i="3" s="1"/>
  <c r="E71" i="1"/>
  <c r="K90" i="1"/>
  <c r="D21" i="3" s="1"/>
  <c r="E44" i="1"/>
  <c r="C113" i="3" s="1"/>
  <c r="E45" i="1"/>
  <c r="C115" i="3" s="1"/>
  <c r="M90" i="1"/>
  <c r="F21" i="3" s="1"/>
  <c r="L90" i="1"/>
  <c r="E21" i="3" s="1"/>
  <c r="C22" i="1"/>
  <c r="C15" i="1"/>
  <c r="C13" i="1"/>
  <c r="C12" i="1"/>
  <c r="C11" i="1"/>
  <c r="C10" i="1"/>
  <c r="C9" i="1"/>
  <c r="C8" i="1"/>
  <c r="T38" i="1"/>
  <c r="E38" i="1" s="1"/>
  <c r="C107" i="3" s="1"/>
  <c r="T32" i="1"/>
  <c r="E32" i="1" s="1"/>
  <c r="C101" i="3" s="1"/>
  <c r="T30" i="1"/>
  <c r="E30" i="1" s="1"/>
  <c r="C99" i="3" s="1"/>
  <c r="AG30" i="1"/>
  <c r="AG29" i="1"/>
  <c r="AG28" i="1"/>
  <c r="AG27" i="1"/>
  <c r="AG26" i="1"/>
  <c r="AG24" i="1"/>
  <c r="AG23" i="1"/>
  <c r="AG22" i="1"/>
  <c r="AG21" i="1"/>
  <c r="AG20" i="1"/>
  <c r="AG16" i="1"/>
  <c r="AG15" i="1"/>
  <c r="AG14" i="1"/>
  <c r="AG13" i="1"/>
  <c r="AG12" i="1"/>
  <c r="AG11" i="1"/>
  <c r="AG10" i="1"/>
  <c r="AG9" i="1"/>
  <c r="AG8" i="1"/>
  <c r="AG7" i="1"/>
  <c r="AC11" i="1"/>
  <c r="Y44" i="1"/>
  <c r="Y29" i="1"/>
  <c r="AD19" i="1"/>
  <c r="Z19" i="1"/>
  <c r="Y19" i="1" s="1"/>
  <c r="AJ26" i="1" s="1"/>
  <c r="Y11" i="1"/>
  <c r="AC9" i="1"/>
  <c r="Y9" i="1"/>
  <c r="X9" i="1" s="1"/>
  <c r="C119" i="3" l="1"/>
  <c r="L69" i="1"/>
  <c r="M69" i="1"/>
  <c r="J69" i="1"/>
  <c r="K69" i="1"/>
  <c r="L71" i="1"/>
  <c r="C121" i="3"/>
  <c r="K71" i="1"/>
  <c r="J71" i="1"/>
  <c r="M71" i="1"/>
  <c r="J9" i="1"/>
  <c r="M9" i="1"/>
  <c r="L9" i="1"/>
  <c r="K9" i="1"/>
  <c r="L44" i="1"/>
  <c r="J44" i="1"/>
  <c r="K44" i="1"/>
  <c r="M44" i="1"/>
  <c r="M45" i="1"/>
  <c r="L45" i="1"/>
  <c r="K45" i="1"/>
  <c r="J45" i="1"/>
  <c r="L38" i="1"/>
  <c r="K38" i="1"/>
  <c r="J38" i="1"/>
  <c r="M38" i="1"/>
  <c r="M32" i="1"/>
  <c r="L32" i="1"/>
  <c r="K32" i="1"/>
  <c r="J32" i="1"/>
  <c r="M30" i="1"/>
  <c r="L30" i="1"/>
  <c r="K30" i="1"/>
  <c r="J30" i="1"/>
  <c r="E77" i="1" l="1"/>
  <c r="G97" i="3" s="1"/>
  <c r="B10" i="3"/>
  <c r="E73" i="1"/>
  <c r="C123" i="3" s="1"/>
  <c r="E75" i="1"/>
  <c r="L75" i="1" l="1"/>
  <c r="C125" i="3"/>
  <c r="J75" i="1"/>
  <c r="K75" i="1"/>
  <c r="M75" i="1"/>
  <c r="K77" i="1"/>
  <c r="J77" i="1"/>
  <c r="M77" i="1"/>
  <c r="L77" i="1"/>
  <c r="L73" i="1"/>
  <c r="M73" i="1"/>
  <c r="J73" i="1"/>
  <c r="K73" i="1"/>
  <c r="U47" i="1"/>
  <c r="J78" i="1" l="1"/>
  <c r="K78" i="1"/>
  <c r="E56" i="1"/>
  <c r="L56" i="1" l="1"/>
  <c r="J56" i="1"/>
  <c r="M56" i="1"/>
  <c r="K56" i="1"/>
  <c r="G103" i="3"/>
  <c r="M36" i="1"/>
  <c r="AB30" i="1" l="1"/>
  <c r="K65" i="1" l="1"/>
  <c r="L65" i="1"/>
  <c r="M65" i="1"/>
  <c r="J36" i="1" l="1"/>
  <c r="K36" i="1"/>
  <c r="L36" i="1" l="1"/>
  <c r="E54" i="1" l="1"/>
  <c r="E58" i="1"/>
  <c r="E60" i="1"/>
  <c r="AH16" i="1"/>
  <c r="AH15" i="1"/>
  <c r="AH14" i="1"/>
  <c r="AH13" i="1"/>
  <c r="AH12" i="1"/>
  <c r="AH11" i="1"/>
  <c r="AH10" i="1"/>
  <c r="AH9" i="1"/>
  <c r="AH8" i="1"/>
  <c r="AH7" i="1"/>
  <c r="AH21" i="1"/>
  <c r="AH20" i="1"/>
  <c r="AH30" i="1"/>
  <c r="AH29" i="1"/>
  <c r="AH28" i="1"/>
  <c r="AH27" i="1"/>
  <c r="AH26" i="1"/>
  <c r="AH24" i="1"/>
  <c r="AH23" i="1"/>
  <c r="AH22" i="1"/>
  <c r="J24" i="1" s="1"/>
  <c r="AC19" i="1"/>
  <c r="AJ16" i="1"/>
  <c r="K58" i="1" l="1"/>
  <c r="L58" i="1"/>
  <c r="M58" i="1"/>
  <c r="J58" i="1"/>
  <c r="K60" i="1"/>
  <c r="L60" i="1"/>
  <c r="M60" i="1"/>
  <c r="J60" i="1"/>
  <c r="K54" i="1"/>
  <c r="L54" i="1"/>
  <c r="M54" i="1"/>
  <c r="J54" i="1"/>
  <c r="G107" i="3"/>
  <c r="G105" i="3"/>
  <c r="G101" i="3"/>
  <c r="AJ10" i="1"/>
  <c r="AJ11" i="1"/>
  <c r="AJ7" i="1"/>
  <c r="AJ12" i="1"/>
  <c r="I24" i="1" s="1"/>
  <c r="AJ28" i="1"/>
  <c r="AJ24" i="1"/>
  <c r="AJ29" i="1"/>
  <c r="AJ23" i="1"/>
  <c r="AJ30" i="1"/>
  <c r="AJ13" i="1"/>
  <c r="AJ20" i="1"/>
  <c r="AJ22" i="1"/>
  <c r="AJ8" i="1"/>
  <c r="AJ14" i="1"/>
  <c r="AJ21" i="1"/>
  <c r="AJ9" i="1"/>
  <c r="AJ15" i="1"/>
  <c r="AJ27" i="1"/>
  <c r="H24" i="1"/>
  <c r="K66" i="1" l="1"/>
  <c r="L66" i="1"/>
  <c r="J66" i="1"/>
  <c r="M66" i="1"/>
  <c r="C16" i="3"/>
  <c r="L24" i="1"/>
  <c r="E16" i="3" s="1"/>
  <c r="M24" i="1"/>
  <c r="K24" i="1"/>
  <c r="F16" i="3" l="1"/>
  <c r="D16" i="3"/>
  <c r="AB11" i="1" l="1"/>
  <c r="X11" i="1"/>
  <c r="L11" i="1" s="1"/>
  <c r="AB9" i="1" l="1"/>
  <c r="H11" i="1"/>
  <c r="I11" i="1"/>
  <c r="J11" i="1"/>
  <c r="K11" i="1"/>
  <c r="M11" i="1"/>
  <c r="I9" i="1" l="1"/>
  <c r="I12" i="1" s="1"/>
  <c r="H9" i="1"/>
  <c r="H12" i="1" s="1"/>
  <c r="I78" i="1"/>
  <c r="H78" i="1"/>
  <c r="AB52" i="1"/>
  <c r="AC52" i="1" s="1"/>
  <c r="AB51" i="1"/>
  <c r="AC51" i="1" s="1"/>
  <c r="AB48" i="1"/>
  <c r="AC48" i="1" s="1"/>
  <c r="AB47" i="1"/>
  <c r="AC47" i="1" s="1"/>
  <c r="AB46" i="1"/>
  <c r="AC46" i="1" s="1"/>
  <c r="AB45" i="1"/>
  <c r="AC45" i="1" s="1"/>
  <c r="Z47" i="1"/>
  <c r="AB35" i="1"/>
  <c r="AC35" i="1" s="1"/>
  <c r="AB34" i="1"/>
  <c r="AC34" i="1" s="1"/>
  <c r="AB33" i="1"/>
  <c r="AC33" i="1" s="1"/>
  <c r="AB32" i="1"/>
  <c r="AC32" i="1" s="1"/>
  <c r="AB31" i="1"/>
  <c r="AC31" i="1" s="1"/>
  <c r="AC30" i="1"/>
  <c r="K12" i="1"/>
  <c r="J12" i="1"/>
  <c r="Z36" i="1" l="1"/>
  <c r="Z32" i="1"/>
  <c r="E19" i="3"/>
  <c r="F19" i="3"/>
  <c r="D19" i="3"/>
  <c r="J17" i="1"/>
  <c r="J22" i="1"/>
  <c r="L12" i="1"/>
  <c r="M12" i="1"/>
  <c r="K17" i="1"/>
  <c r="D17" i="3" s="1"/>
  <c r="I17" i="1"/>
  <c r="I106" i="1" s="1"/>
  <c r="H17" i="1"/>
  <c r="H106" i="1" s="1"/>
  <c r="M22" i="1"/>
  <c r="K22" i="1"/>
  <c r="L22" i="1"/>
  <c r="L78" i="1"/>
  <c r="E20" i="3" s="1"/>
  <c r="D20" i="3"/>
  <c r="M78" i="1"/>
  <c r="F20" i="3" s="1"/>
  <c r="Z33" i="1"/>
  <c r="Z37" i="1"/>
  <c r="Z34" i="1"/>
  <c r="Z52" i="1"/>
  <c r="Z48" i="1"/>
  <c r="Z53" i="1"/>
  <c r="Z51" i="1"/>
  <c r="Z54" i="1"/>
  <c r="Z35" i="1"/>
  <c r="E15" i="3" l="1"/>
  <c r="D15" i="3"/>
  <c r="F15" i="3"/>
  <c r="C19" i="3"/>
  <c r="C20" i="3"/>
  <c r="C15" i="3"/>
  <c r="C17" i="3"/>
  <c r="L28" i="1"/>
  <c r="C36" i="3"/>
  <c r="D36" i="3"/>
  <c r="K28" i="1"/>
  <c r="D34" i="3" s="1"/>
  <c r="J28" i="1"/>
  <c r="M28" i="1"/>
  <c r="M17" i="1"/>
  <c r="F17" i="3" s="1"/>
  <c r="L17" i="1"/>
  <c r="E17" i="3" s="1"/>
  <c r="AG41" i="1"/>
  <c r="H107" i="1" s="1"/>
  <c r="H104" i="1"/>
  <c r="AG40" i="1" s="1"/>
  <c r="I104" i="1"/>
  <c r="AB38" i="1"/>
  <c r="L34" i="1"/>
  <c r="K34" i="1"/>
  <c r="M34" i="1"/>
  <c r="J34" i="1"/>
  <c r="AB55" i="1"/>
  <c r="C34" i="3" l="1"/>
  <c r="J48" i="1"/>
  <c r="J106" i="1" s="1"/>
  <c r="F36" i="3"/>
  <c r="F34" i="3"/>
  <c r="E34" i="3"/>
  <c r="E36" i="3"/>
  <c r="AJ38" i="1"/>
  <c r="K33" i="1" s="1"/>
  <c r="D35" i="3"/>
  <c r="AL38" i="1"/>
  <c r="M33" i="1" s="1"/>
  <c r="F35" i="3"/>
  <c r="AK38" i="1"/>
  <c r="L33" i="1" s="1"/>
  <c r="E35" i="3"/>
  <c r="AI38" i="1"/>
  <c r="J33" i="1" s="1"/>
  <c r="C35" i="3"/>
  <c r="AI37" i="1"/>
  <c r="J27" i="1" s="1"/>
  <c r="AH41" i="1"/>
  <c r="I107" i="1" s="1"/>
  <c r="AH40" i="1"/>
  <c r="I105" i="1" s="1"/>
  <c r="B53" i="3"/>
  <c r="M48" i="1"/>
  <c r="F18" i="3" s="1"/>
  <c r="L48" i="1"/>
  <c r="K48" i="1"/>
  <c r="H105" i="1"/>
  <c r="B74" i="3" s="1"/>
  <c r="AK37" i="1"/>
  <c r="L27" i="1" s="1"/>
  <c r="AJ37" i="1"/>
  <c r="K27" i="1" s="1"/>
  <c r="AL37" i="1"/>
  <c r="M27" i="1" s="1"/>
  <c r="C74" i="3" l="1"/>
  <c r="D87" i="3"/>
  <c r="D88" i="3"/>
  <c r="D18" i="3"/>
  <c r="K106" i="1"/>
  <c r="E18" i="3"/>
  <c r="L106" i="1"/>
  <c r="M106" i="1"/>
  <c r="D85" i="3"/>
  <c r="J104" i="1"/>
  <c r="C24" i="3" s="1"/>
  <c r="C18" i="3"/>
  <c r="L104" i="1"/>
  <c r="M104" i="1"/>
  <c r="K104" i="1"/>
  <c r="D84" i="3" l="1"/>
  <c r="D86" i="3"/>
  <c r="D82" i="3"/>
  <c r="D83" i="3"/>
  <c r="AI41" i="1"/>
  <c r="J107" i="1" s="1"/>
  <c r="C25" i="3"/>
  <c r="AK40" i="1"/>
  <c r="L105" i="1" s="1"/>
  <c r="F74" i="3" s="1"/>
  <c r="E53" i="3"/>
  <c r="E24" i="3"/>
  <c r="AL40" i="1"/>
  <c r="M105" i="1" s="1"/>
  <c r="G74" i="3" s="1"/>
  <c r="F53" i="3"/>
  <c r="F24" i="3"/>
  <c r="AJ41" i="1"/>
  <c r="K107" i="1" s="1"/>
  <c r="D25" i="3"/>
  <c r="AK41" i="1"/>
  <c r="L107" i="1" s="1"/>
  <c r="E25" i="3"/>
  <c r="AJ40" i="1"/>
  <c r="K105" i="1" s="1"/>
  <c r="D24" i="3"/>
  <c r="D53" i="3"/>
  <c r="AI40" i="1"/>
  <c r="J105" i="1" s="1"/>
  <c r="D74" i="3" s="1"/>
  <c r="C53" i="3"/>
  <c r="AL41" i="1"/>
  <c r="M107" i="1" s="1"/>
  <c r="F25" i="3"/>
  <c r="E74" i="3" l="1"/>
</calcChain>
</file>

<file path=xl/comments1.xml><?xml version="1.0" encoding="utf-8"?>
<comments xmlns="http://schemas.openxmlformats.org/spreadsheetml/2006/main">
  <authors>
    <author>Schröder, Henning</author>
  </authors>
  <commentList>
    <comment ref="E9" authorId="0" shapeId="0">
      <text>
        <r>
          <rPr>
            <sz val="9"/>
            <color indexed="81"/>
            <rFont val="Segoe UI"/>
            <family val="2"/>
          </rPr>
          <t>§2 GAPDZV unter 1 Hektar Antragsfläche wird keine Direktzahlung gewährt</t>
        </r>
      </text>
    </comment>
    <comment ref="M9" authorId="0" shapeId="0">
      <text>
        <r>
          <rPr>
            <b/>
            <sz val="9"/>
            <color indexed="81"/>
            <rFont val="Segoe UI"/>
            <family val="2"/>
          </rPr>
          <t>Wenn sonstige Tiere "ja", dann bitte "RGV-Besatz manuell" eintragen!</t>
        </r>
      </text>
    </comment>
    <comment ref="M11" authorId="0" shapeId="0">
      <text>
        <r>
          <rPr>
            <b/>
            <sz val="9"/>
            <color indexed="81"/>
            <rFont val="Segoe UI"/>
            <family val="2"/>
          </rPr>
          <t>Wenn sonstige Tiere "ja", dann bitte "RGV-Besatz manuell" eintragen!</t>
        </r>
      </text>
    </comment>
    <comment ref="J13" authorId="0" shapeId="0">
      <text>
        <r>
          <rPr>
            <sz val="9"/>
            <color indexed="81"/>
            <rFont val="Segoe UI"/>
            <family val="2"/>
          </rPr>
          <t>Bullen, Kühe, sonst. Rinder&gt;2J, Equiden &gt;6M =1,0 GVE; Rinder 6M-2J = 0,6 GVE; Rinder &lt;6M = 0,4 GVE;   Schafe und Ziegen = 0,15 GVE</t>
        </r>
      </text>
    </comment>
  </commentList>
</comments>
</file>

<file path=xl/comments2.xml><?xml version="1.0" encoding="utf-8"?>
<comments xmlns="http://schemas.openxmlformats.org/spreadsheetml/2006/main">
  <authors>
    <author>Schröder, Henning</author>
  </authors>
  <commentList>
    <comment ref="D28" authorId="0" shapeId="0">
      <text>
        <r>
          <rPr>
            <sz val="9"/>
            <color indexed="81"/>
            <rFont val="Segoe UI"/>
            <family val="2"/>
          </rPr>
          <t>nichtproduktive Fläche muss mind. 0,1 Hektar groß sein 
(GAPDZV Analge 5 Zf. 1.1.3)
1%=1300€; 2%=500€; 3%-6%=300€</t>
        </r>
      </text>
    </comment>
    <comment ref="D30" authorId="0" shapeId="0">
      <text>
        <r>
          <rPr>
            <sz val="9"/>
            <color indexed="81"/>
            <rFont val="Segoe UI"/>
            <family val="2"/>
          </rPr>
          <t>jede/-r Blühfläche /-streifen muss mind. 0,1 Hektar groß sein, 
(GAPDZV Analge 5 1.2.2.), jede Blühfläche darf max. 1 ha groß sein (GAPDZV Anlage 5 1.2.3.)</t>
        </r>
      </text>
    </comment>
    <comment ref="D34" authorId="0" shapeId="0">
      <text>
        <r>
          <rPr>
            <sz val="9"/>
            <color indexed="81"/>
            <rFont val="Segoe UI"/>
            <family val="2"/>
          </rPr>
          <t>Altgrasstreifen /-flächen müssen mind. 0,1 Hektar groß sein, müssen mind. 10% und max. 20% einer Dauergrünlandfläche einnehmen (GAPDZV Analge 5 1.4.2)
1%=900€; 2%-3%=400€; 4%-6%=200€</t>
        </r>
      </text>
    </comment>
    <comment ref="D36" authorId="0" shapeId="0">
      <text>
        <r>
          <rPr>
            <sz val="9"/>
            <color indexed="81"/>
            <rFont val="Segoe UI"/>
            <family val="2"/>
          </rPr>
          <t>mind. 5 Hauptfruchtarten, die jeweils mind. 10% und max. 30% der förderfähigen AL einnehmen</t>
        </r>
      </text>
    </comment>
    <comment ref="D38" authorId="0" shapeId="0">
      <text>
        <r>
          <rPr>
            <sz val="9"/>
            <color indexed="81"/>
            <rFont val="Segoe UI"/>
            <family val="2"/>
          </rPr>
          <t>Auf beantragten FNL-Flächen darf kein Agroforst stehen, welcher beantragt wurde</t>
        </r>
      </text>
    </comment>
    <comment ref="D40" authorId="0" shapeId="0">
      <text>
        <r>
          <rPr>
            <sz val="9"/>
            <color indexed="81"/>
            <rFont val="Segoe UI"/>
            <family val="2"/>
          </rPr>
          <t>mind. 0,3 RGV / ha   max. 1,4 RGV / ha         (GAPDZV Anlage 5 4.2.); 
"Natura2000 Sachsen-Anhalt" und ÖR4 können nicht auf der selben Fläche beantragt werden</t>
        </r>
      </text>
    </comment>
    <comment ref="D52" authorId="0" shapeId="0">
      <text>
        <r>
          <rPr>
            <sz val="9"/>
            <color indexed="81"/>
            <rFont val="Segoe UI"/>
            <family val="2"/>
          </rPr>
          <t>Schonfläche muss weniger als 50% des Schlages einnehmen, nur eine Schonfläche pro Schlag;
MSUL kann auf ÖR1d beantragt werden, keine Zahlung der MSUL-Zuwendung</t>
        </r>
      </text>
    </comment>
    <comment ref="D54" authorId="0" shapeId="0">
      <text>
        <r>
          <rPr>
            <sz val="9"/>
            <color indexed="81"/>
            <rFont val="Segoe UI"/>
            <family val="2"/>
          </rPr>
          <t>Schonfläche muss weniger als 50% des Schlages einnehmen, nur eine Schonfläche pro Schlag;
MSUL kann auf ÖR1d beantragt werden, keine Zahlung der MSUL-Zuwendung</t>
        </r>
      </text>
    </comment>
    <comment ref="D56" authorId="0" shapeId="0">
      <text>
        <r>
          <rPr>
            <sz val="9"/>
            <color indexed="81"/>
            <rFont val="Segoe UI"/>
            <family val="2"/>
          </rPr>
          <t>MSUL kann auf ÖR1d beantragt werden, keine Zahlung der MSUL-Zuwendung</t>
        </r>
      </text>
    </comment>
    <comment ref="D58" authorId="0" shapeId="0">
      <text>
        <r>
          <rPr>
            <sz val="9"/>
            <color indexed="81"/>
            <rFont val="Segoe UI"/>
            <family val="2"/>
          </rPr>
          <t>Schonfläche muss weniger als 50% des Schlages einnehmen, nur eine Schonfläche pro Schlag;
MSUL kann auf ÖR1d beantragt werden, keine Zahlung der MSUL-Zuwendung</t>
        </r>
      </text>
    </comment>
    <comment ref="D60" authorId="0" shapeId="0">
      <text>
        <r>
          <rPr>
            <sz val="9"/>
            <color indexed="81"/>
            <rFont val="Segoe UI"/>
            <family val="2"/>
          </rPr>
          <t>Schonfläche muss weniger als 50% des Schlages einnehmen, nur eine Schonfläche pro Schlag;
MSUL kann auf ÖR1d beantragt werden, keine Zahlung der MSUL-Zuwendung</t>
        </r>
      </text>
    </comment>
    <comment ref="D62" authorId="0" shapeId="0">
      <text>
        <r>
          <rPr>
            <sz val="9"/>
            <color indexed="81"/>
            <rFont val="Segoe UI"/>
            <family val="2"/>
          </rPr>
          <t>nur auf Ackerland; 
mind. 5m breit; 
auf unter 20% einer Fläche maximal; 
nur mit ÖR7 auf Ackerland kombinierbar;
verringert die möglichen Hektare für ÖR2 und ÖR6;  nicht mit AGZ kombinierbar</t>
        </r>
      </text>
    </comment>
    <comment ref="D63" authorId="0" shapeId="0">
      <text>
        <r>
          <rPr>
            <sz val="9"/>
            <color indexed="81"/>
            <rFont val="Segoe UI"/>
            <family val="2"/>
          </rPr>
          <t>nur auf Ackerland; 
maximal 2,5ha je Schlag;
nur mit ÖR7 auf Ackerland kombinierbar;
verringert die möglichen Hektare für ÖR2 und ÖR6;  nicht mit AGZ kombinierbar</t>
        </r>
      </text>
    </comment>
    <comment ref="D69" authorId="0" shapeId="0">
      <text>
        <r>
          <rPr>
            <sz val="9"/>
            <color indexed="81"/>
            <rFont val="Segoe UI"/>
            <family val="2"/>
          </rPr>
          <t>MSUL-Maßnahmen prüfen, da FNL-Fläche entweder in MSUL oder FNL beantragt werden kann</t>
        </r>
      </text>
    </comment>
    <comment ref="D71" authorId="0" shapeId="0">
      <text>
        <r>
          <rPr>
            <sz val="9"/>
            <color indexed="81"/>
            <rFont val="Segoe UI"/>
            <family val="2"/>
          </rPr>
          <t>MSUL-Maßnahmen prüfen, da FNL-Fläche entweder in MSUL oder FNL beantragt werden kann</t>
        </r>
      </text>
    </comment>
    <comment ref="D73" authorId="0" shapeId="0">
      <text>
        <r>
          <rPr>
            <sz val="9"/>
            <color indexed="81"/>
            <rFont val="Segoe UI"/>
            <family val="2"/>
          </rPr>
          <t>MSUL-Maßnahmen prüfen, da FNL-Fläche entweder in MSUL oder FNL beantragt werden kann</t>
        </r>
      </text>
    </comment>
    <comment ref="D75" authorId="0" shapeId="0">
      <text>
        <r>
          <rPr>
            <sz val="9"/>
            <color indexed="81"/>
            <rFont val="Segoe UI"/>
            <family val="2"/>
          </rPr>
          <t>MSUL-Maßnahmen prüfen, da FNL-Fläche entweder in MSUL oder FNL beantragt werden kann</t>
        </r>
      </text>
    </comment>
    <comment ref="D77" authorId="0" shapeId="0">
      <text>
        <r>
          <rPr>
            <sz val="9"/>
            <color indexed="81"/>
            <rFont val="Segoe UI"/>
            <family val="2"/>
          </rPr>
          <t>MSUL-Maßnahmen prüfen, da FNL-Fläche entweder in MSUL oder FNL beantragt werden kann</t>
        </r>
      </text>
    </comment>
    <comment ref="D82" authorId="0" shapeId="0">
      <text>
        <r>
          <rPr>
            <sz val="9"/>
            <color indexed="81"/>
            <rFont val="Segoe UI"/>
            <family val="2"/>
          </rPr>
          <t>nicht mit MS60 oder MS64 auf der gleichen Fläche kombinierbar</t>
        </r>
      </text>
    </comment>
    <comment ref="D83" authorId="0" shapeId="0">
      <text>
        <r>
          <rPr>
            <sz val="9"/>
            <color indexed="81"/>
            <rFont val="Segoe UI"/>
            <family val="2"/>
          </rPr>
          <t>nicht mit MS60 oder MS64 auf der gleichen Fläche kombinierbar</t>
        </r>
      </text>
    </comment>
    <comment ref="D85" authorId="0" shapeId="0">
      <text>
        <r>
          <rPr>
            <sz val="9"/>
            <color indexed="81"/>
            <rFont val="Segoe UI"/>
            <family val="2"/>
          </rPr>
          <t>"Natura2000 Sachsen-Anhalt" und ÖR4 können nicht auf der selben Fläche beantragt werden</t>
        </r>
      </text>
    </comment>
    <comment ref="D86" authorId="0" shapeId="0">
      <text>
        <r>
          <rPr>
            <sz val="9"/>
            <color indexed="81"/>
            <rFont val="Segoe UI"/>
            <family val="2"/>
          </rPr>
          <t>"Natura2000 Sachsen-Anhalt" und ÖR4 können nicht auf der selben Fläche beantragt werden</t>
        </r>
      </text>
    </comment>
    <comment ref="D88" authorId="0" shapeId="0">
      <text>
        <r>
          <rPr>
            <sz val="9"/>
            <color indexed="81"/>
            <rFont val="Segoe UI"/>
            <family val="2"/>
          </rPr>
          <t>"Natura2000 Sachsen-Anhalt" und ÖR4 können nicht auf der selben Fläche beantragt werden</t>
        </r>
      </text>
    </comment>
    <comment ref="D89" authorId="0" shapeId="0">
      <text>
        <r>
          <rPr>
            <sz val="9"/>
            <color indexed="81"/>
            <rFont val="Segoe UI"/>
            <family val="2"/>
          </rPr>
          <t>"Natura2000 Sachsen-Anhalt" und ÖR4 können nicht auf der selben Fläche beantragt werden</t>
        </r>
      </text>
    </comment>
  </commentList>
</comments>
</file>

<file path=xl/comments3.xml><?xml version="1.0" encoding="utf-8"?>
<comments xmlns="http://schemas.openxmlformats.org/spreadsheetml/2006/main">
  <authors>
    <author>Körtge, Eva</author>
  </authors>
  <commentList>
    <comment ref="AA7" authorId="0" shapeId="0">
      <text>
        <r>
          <rPr>
            <b/>
            <sz val="9"/>
            <color indexed="81"/>
            <rFont val="Segoe UI"/>
            <family val="2"/>
          </rPr>
          <t>Körtge, Eva:</t>
        </r>
        <r>
          <rPr>
            <sz val="9"/>
            <color indexed="81"/>
            <rFont val="Segoe UI"/>
            <family val="2"/>
          </rPr>
          <t xml:space="preserve">
Prüfung mit der 54 vorraussichtlich nein zur kombination</t>
        </r>
      </text>
    </comment>
    <comment ref="F28" authorId="0" shapeId="0">
      <text>
        <r>
          <rPr>
            <b/>
            <sz val="9"/>
            <color indexed="81"/>
            <rFont val="Segoe UI"/>
            <family val="2"/>
          </rPr>
          <t>Keine Kombination</t>
        </r>
        <r>
          <rPr>
            <sz val="9"/>
            <color indexed="81"/>
            <rFont val="Segoe UI"/>
            <family val="2"/>
          </rPr>
          <t>, Gründe
- Unterschied 15.7. zu 1.9. hinsichtl. Qualität u. Quantität gering, daher auch nur sehr geringe ÖR-Zusatz-Prämie gerechtfertigt.
- Ziel FNL ist Bewirtschaftung von best. LRT aus naturschutzfachl. Sicht,</t>
        </r>
      </text>
    </comment>
  </commentList>
</comments>
</file>

<file path=xl/sharedStrings.xml><?xml version="1.0" encoding="utf-8"?>
<sst xmlns="http://schemas.openxmlformats.org/spreadsheetml/2006/main" count="1569" uniqueCount="370">
  <si>
    <t>Förderung ab 2023</t>
  </si>
  <si>
    <t>förderfähige Fläche</t>
  </si>
  <si>
    <t>ha</t>
  </si>
  <si>
    <t>Mutterkühe</t>
  </si>
  <si>
    <t>Stück</t>
  </si>
  <si>
    <t>GL</t>
  </si>
  <si>
    <t>€/ha</t>
  </si>
  <si>
    <t>€/Betr</t>
  </si>
  <si>
    <t>€/Tier</t>
  </si>
  <si>
    <t>!-</t>
  </si>
  <si>
    <t>_</t>
  </si>
  <si>
    <t>-!</t>
  </si>
  <si>
    <t>!</t>
  </si>
  <si>
    <r>
      <t xml:space="preserve">Berechnung Förderung für zusätzliche Stilllegung für </t>
    </r>
    <r>
      <rPr>
        <b/>
        <sz val="11"/>
        <color rgb="FFFF0000"/>
        <rFont val="Calibri"/>
        <family val="2"/>
        <scheme val="minor"/>
      </rPr>
      <t>Ackerland</t>
    </r>
  </si>
  <si>
    <t>Anteil ha</t>
  </si>
  <si>
    <t>€/ha Brache</t>
  </si>
  <si>
    <t>Prüfung der Prozente</t>
  </si>
  <si>
    <t>max 6%</t>
  </si>
  <si>
    <t>ÖR1b</t>
  </si>
  <si>
    <t>Geld je ha bei Prozent</t>
  </si>
  <si>
    <t>ha max.</t>
  </si>
  <si>
    <t>ÖR1d</t>
  </si>
  <si>
    <t>€/ha Altgras</t>
  </si>
  <si>
    <t>ÖR2</t>
  </si>
  <si>
    <t>ÖR4</t>
  </si>
  <si>
    <t>Ergebnis</t>
  </si>
  <si>
    <t>ÖR5</t>
  </si>
  <si>
    <t>!_</t>
  </si>
  <si>
    <t>_!</t>
  </si>
  <si>
    <t>ÖR7</t>
  </si>
  <si>
    <r>
      <t xml:space="preserve">Berechnung Förderung für zusätzliche Stilllegung für </t>
    </r>
    <r>
      <rPr>
        <b/>
        <sz val="11"/>
        <color rgb="FFFF0000"/>
        <rFont val="Calibri"/>
        <family val="2"/>
        <scheme val="minor"/>
      </rPr>
      <t>Grünland</t>
    </r>
  </si>
  <si>
    <t>MS10</t>
  </si>
  <si>
    <t>MS11</t>
  </si>
  <si>
    <t>MS12</t>
  </si>
  <si>
    <t>MS13</t>
  </si>
  <si>
    <t>MS14</t>
  </si>
  <si>
    <t>FN20</t>
  </si>
  <si>
    <t>FN21</t>
  </si>
  <si>
    <t>FN22</t>
  </si>
  <si>
    <t>FN23</t>
  </si>
  <si>
    <t>FN24</t>
  </si>
  <si>
    <t>Jahr</t>
  </si>
  <si>
    <t>AL</t>
  </si>
  <si>
    <t>ÖR3</t>
  </si>
  <si>
    <t>ÖR1c</t>
  </si>
  <si>
    <t>Sommerungen + DK mit 130€/ha</t>
  </si>
  <si>
    <t>Ackergrünfutter mit 50€/ha</t>
  </si>
  <si>
    <t>130/50</t>
  </si>
  <si>
    <t>120/50</t>
  </si>
  <si>
    <t>110/50</t>
  </si>
  <si>
    <t xml:space="preserve">ÖR1a </t>
  </si>
  <si>
    <t>Aufstockung nichtproduktives AL</t>
  </si>
  <si>
    <t>Altgrasflächen/-streifen auf DGL</t>
  </si>
  <si>
    <t>vielfältige Kulturen im Ackerbau</t>
  </si>
  <si>
    <t>Agroforstsysteme auf AL und DGL</t>
  </si>
  <si>
    <t>Extensivierung DGL insgesamt</t>
  </si>
  <si>
    <t>ÖR6 - PSM-Verzicht auf AL und DK</t>
  </si>
  <si>
    <t>Bonus für Natura 2000</t>
  </si>
  <si>
    <t>Mahd 1 bis 15.06; Mahd 2 nach 01.09</t>
  </si>
  <si>
    <t>Erstmahd nach dem 15.07</t>
  </si>
  <si>
    <t>Beweidung mit Rindern</t>
  </si>
  <si>
    <t>Beweidung mit Schafen u./o. Ziegen</t>
  </si>
  <si>
    <t>Hütehaltung mit Schafen u./o. Ziegen</t>
  </si>
  <si>
    <t>ext. DGL + min. 5% 2 jähriger Schonfläche</t>
  </si>
  <si>
    <t>ext. DGL + Beweidung mit Schafen u./o. Ziegen</t>
  </si>
  <si>
    <t>Beweidung mit Schafen u./o. Ziegen + MS10</t>
  </si>
  <si>
    <t>Beweidung mit Schafen u./o. Ziegen + MS11</t>
  </si>
  <si>
    <t>Ackerland (AL)</t>
  </si>
  <si>
    <t>Dauerkulturfläche (DK)</t>
  </si>
  <si>
    <t>GVE-Besatz pro ha</t>
  </si>
  <si>
    <t>=ausfüllbare Zellen</t>
  </si>
  <si>
    <t>Berechnung weitere 20 ha</t>
  </si>
  <si>
    <t>Berechnung erste 40 ha</t>
  </si>
  <si>
    <t>ab 2023</t>
  </si>
  <si>
    <t>bis 2022</t>
  </si>
  <si>
    <t>Berechnung erste 30 ha</t>
  </si>
  <si>
    <t>Berechnung weitere 16 ha</t>
  </si>
  <si>
    <t>Berechnung 120 ha</t>
  </si>
  <si>
    <t>Berechnung 90 ha</t>
  </si>
  <si>
    <t>Startjahr</t>
  </si>
  <si>
    <t>Prüfung der Jahre für alte Förderung</t>
  </si>
  <si>
    <t>Prüfung der Jahre für neue Förderung</t>
  </si>
  <si>
    <t>Junglandwirteförderung</t>
  </si>
  <si>
    <t>ÖR1a</t>
  </si>
  <si>
    <t>Pr. Oh. AUKM</t>
  </si>
  <si>
    <t>PR. + AUKM</t>
  </si>
  <si>
    <t>(Bedingung = kein Milchvieh im Betrieb)</t>
  </si>
  <si>
    <t>ext. DGL + min. 10% unterjährige Schonfläche</t>
  </si>
  <si>
    <t>DGL ohne Altgrasstreifen und wenn ausgewählt auch ohne MS12</t>
  </si>
  <si>
    <t>ha verfügbar</t>
  </si>
  <si>
    <t>GVE-Besatz ohne #DIV'0#</t>
  </si>
  <si>
    <t>ha gesamt</t>
  </si>
  <si>
    <t>MS80</t>
  </si>
  <si>
    <t>Stk.</t>
  </si>
  <si>
    <t>ha Altgras</t>
  </si>
  <si>
    <t>Diff FNL nach DGL-MS</t>
  </si>
  <si>
    <t>Diff MS-Altg bei max 0</t>
  </si>
  <si>
    <r>
      <t xml:space="preserve">ha                   </t>
    </r>
    <r>
      <rPr>
        <sz val="9"/>
        <color theme="1"/>
        <rFont val="Calibri"/>
        <family val="2"/>
        <scheme val="minor"/>
      </rPr>
      <t>&lt;--</t>
    </r>
  </si>
  <si>
    <t>DGL- Fläche ohne FNL-Fläche</t>
  </si>
  <si>
    <r>
      <t xml:space="preserve">Pflege extensiver Obstbestände </t>
    </r>
    <r>
      <rPr>
        <sz val="10"/>
        <color theme="1"/>
        <rFont val="Calibri"/>
        <family val="2"/>
        <scheme val="minor"/>
      </rPr>
      <t>(max. 100 B./ha)</t>
    </r>
  </si>
  <si>
    <t>Kennarten DGL</t>
  </si>
  <si>
    <t>Nat. bei FNL&gt;0</t>
  </si>
  <si>
    <t>Dauergrünland (DGL)</t>
  </si>
  <si>
    <t>RGV-Besatz pro ha</t>
  </si>
  <si>
    <t>Blühflächen/-streifen auf AL</t>
  </si>
  <si>
    <t>Blühflächen/-streifen auf DK</t>
  </si>
  <si>
    <t>einzusetzende Fläche</t>
  </si>
  <si>
    <t>DK</t>
  </si>
  <si>
    <t>FNL</t>
  </si>
  <si>
    <t>N2000</t>
  </si>
  <si>
    <t>MK</t>
  </si>
  <si>
    <t>MS/Z</t>
  </si>
  <si>
    <t>JL</t>
  </si>
  <si>
    <t>RGV-Besatz</t>
  </si>
  <si>
    <t>Tiere</t>
  </si>
  <si>
    <t xml:space="preserve">  Anzahl Bäume </t>
  </si>
  <si>
    <t>Ackerland</t>
  </si>
  <si>
    <t>Grünland</t>
  </si>
  <si>
    <t>Dauerkulturen</t>
  </si>
  <si>
    <t>Kennzahlen des Betriebes</t>
  </si>
  <si>
    <t>Tierbestand</t>
  </si>
  <si>
    <t>Mutterschafe</t>
  </si>
  <si>
    <t>ha Nat. übrig</t>
  </si>
  <si>
    <t>Schritt 2=</t>
  </si>
  <si>
    <t>Schritt 1=</t>
  </si>
  <si>
    <t>Schritt 3=</t>
  </si>
  <si>
    <t>Schritt 4=</t>
  </si>
  <si>
    <t>Schritt 5=</t>
  </si>
  <si>
    <t>WEITER</t>
  </si>
  <si>
    <t>Bestandteile der Förderung in 2023</t>
  </si>
  <si>
    <t>§2 GAPDZV unter 1 Hektar Antragsfläche wird keine Direktzahlung gewährt</t>
  </si>
  <si>
    <t>Betriebsdaten</t>
  </si>
  <si>
    <t>Übersicht der ausgewählten Maßnahmen</t>
  </si>
  <si>
    <t>Öko-Regelungen</t>
  </si>
  <si>
    <t>Agrarumwelt- und Klimamaßnahmen</t>
  </si>
  <si>
    <r>
      <t xml:space="preserve">ÖR1a                                                            </t>
    </r>
    <r>
      <rPr>
        <i/>
        <sz val="10"/>
        <color theme="1"/>
        <rFont val="Calibri"/>
        <family val="2"/>
        <scheme val="minor"/>
      </rPr>
      <t>Förderhöhe in</t>
    </r>
  </si>
  <si>
    <r>
      <t xml:space="preserve">MS10                                       </t>
    </r>
    <r>
      <rPr>
        <i/>
        <sz val="10"/>
        <color theme="1"/>
        <rFont val="Calibri"/>
        <family val="2"/>
        <scheme val="minor"/>
      </rPr>
      <t xml:space="preserve">                     Förderhöhe in</t>
    </r>
  </si>
  <si>
    <r>
      <t xml:space="preserve">FN20                                                           </t>
    </r>
    <r>
      <rPr>
        <i/>
        <sz val="10"/>
        <color theme="1"/>
        <rFont val="Calibri"/>
        <family val="2"/>
        <scheme val="minor"/>
      </rPr>
      <t xml:space="preserve">  Förderhöhe in</t>
    </r>
  </si>
  <si>
    <t>Informationen zur Ausnahmeregelung für GLÖZ 8 in 2023</t>
  </si>
  <si>
    <t>https://www.inet17.sachsen-anhalt.de/webClient_ST_P/public?disposition=inline&amp;resource=ST22_Infos_5_2022.pdf</t>
  </si>
  <si>
    <t>ELAISA - Leerformulare und Informationen</t>
  </si>
  <si>
    <t>https://www.inet17.sachsen-anhalt.de/webClient_ST_P/public?disposition=inline&amp;resource=infoinet.htm</t>
  </si>
  <si>
    <t xml:space="preserve">Mindesthektare für eine Förderung </t>
  </si>
  <si>
    <t>https://www.bmel.de/SharedDocs/Gesetzestexte/DE/GAPDZV.html</t>
  </si>
  <si>
    <t>GAP-Konditionalitäten-Verordnung</t>
  </si>
  <si>
    <t>GAP-Direktzahlungs-Verordnung</t>
  </si>
  <si>
    <t>https://www.bmel.de/SharedDocs/Gesetzestexte/DE/GAPKondV.html</t>
  </si>
  <si>
    <t>GAP-Konditionalitäten-Gesetz</t>
  </si>
  <si>
    <t>https://www.bmel.de/SharedDocs/Gesetzestexte/DE/GAPKondG.html</t>
  </si>
  <si>
    <t>GAP-Direktzahlungs-Gesetz</t>
  </si>
  <si>
    <t>https://www.bmel.de/SharedDocs/Gesetzestexte/DE/gapdzg.html</t>
  </si>
  <si>
    <t>https://www.bmel.de/SharedDocs/Gesetzestexte/DE/gap-ausnahmen-verordnung.html</t>
  </si>
  <si>
    <t>GAP-Ausnahmen-Verordnung</t>
  </si>
  <si>
    <t>https://www.bmel.de/SharedDocs/FAQs/DE/faq-gap-strategieplan/FAQ-gap-strategieplan_List.html</t>
  </si>
  <si>
    <t>Fragen und Antworten zum GAP-Strategieplan</t>
  </si>
  <si>
    <t>Quellen für die notwendigen Informationen zur GAP</t>
  </si>
  <si>
    <t>€/Baum</t>
  </si>
  <si>
    <t>MS60</t>
  </si>
  <si>
    <t>GAK</t>
  </si>
  <si>
    <t>GAK-Prämie gesamt</t>
  </si>
  <si>
    <t>EMZ unter 33</t>
  </si>
  <si>
    <t>EMZ zwischen 33 und 37</t>
  </si>
  <si>
    <t xml:space="preserve">Verbot N-Düngung auf DGL </t>
  </si>
  <si>
    <t>Einschränkung N-Düngung auf DGL</t>
  </si>
  <si>
    <t>produktiv genutztes AL</t>
  </si>
  <si>
    <t>produktiv genutzte DK</t>
  </si>
  <si>
    <t>GAK-Prämie</t>
  </si>
  <si>
    <t>PSM-Ausgleich (PSM-A b))</t>
  </si>
  <si>
    <r>
      <t xml:space="preserve">PSM-Ausgleich (PSM-A a))                        </t>
    </r>
    <r>
      <rPr>
        <i/>
        <sz val="10"/>
        <color theme="1"/>
        <rFont val="Calibri"/>
        <family val="2"/>
        <scheme val="minor"/>
      </rPr>
      <t>Förderhöhe</t>
    </r>
  </si>
  <si>
    <t>AGZ &lt;33</t>
  </si>
  <si>
    <t>AGZ 33-37</t>
  </si>
  <si>
    <t>N2000 a)</t>
  </si>
  <si>
    <t>N2000 b)</t>
  </si>
  <si>
    <t>N2000 c)</t>
  </si>
  <si>
    <t>N2000 d)</t>
  </si>
  <si>
    <t>PSM-A a)</t>
  </si>
  <si>
    <t>PSM-A b)</t>
  </si>
  <si>
    <t>AGZ-Fläche</t>
  </si>
  <si>
    <t>PSM-Ausgleich-Fläche</t>
  </si>
  <si>
    <r>
      <t xml:space="preserve">Ausgleichszulage                                        </t>
    </r>
    <r>
      <rPr>
        <i/>
        <sz val="10"/>
        <color theme="1"/>
        <rFont val="Calibri"/>
        <family val="2"/>
        <scheme val="minor"/>
      </rPr>
      <t>Förderhöhe</t>
    </r>
  </si>
  <si>
    <t>EMZ unter 33 (45€/ha)</t>
  </si>
  <si>
    <t>EMZ zwischen 33 und 37 (25€/ha)</t>
  </si>
  <si>
    <t>45/25</t>
  </si>
  <si>
    <t>440/370</t>
  </si>
  <si>
    <t>204/106</t>
  </si>
  <si>
    <t>a) Verbot N-Düngung auf DGL (440€/ha)</t>
  </si>
  <si>
    <t>b) Einschränkung N-Düngung auf DGL (370€/ha)</t>
  </si>
  <si>
    <t>c) Verbot N-Düngung auf DGL (204€/ha)</t>
  </si>
  <si>
    <t>d) Einschränkung N-Düngung auf DGL (106€/ha)</t>
  </si>
  <si>
    <t>Wenn wieder rein dann auch ÖR6 ändern</t>
  </si>
  <si>
    <t>MS60/64</t>
  </si>
  <si>
    <t>Mehrjährige Blühstreifen - MS60</t>
  </si>
  <si>
    <t>Mehrjährige Blühflächen - MS64</t>
  </si>
  <si>
    <t>in ha</t>
  </si>
  <si>
    <t>MS64</t>
  </si>
  <si>
    <t>Mehrjährige Blühstreifen</t>
  </si>
  <si>
    <t>Mehrjährige Blühflächen</t>
  </si>
  <si>
    <r>
      <t xml:space="preserve">Der Rechner versteht sich ausschließlich für Unternehmen mit </t>
    </r>
    <r>
      <rPr>
        <u/>
        <sz val="13"/>
        <color theme="1"/>
        <rFont val="Calibri"/>
        <family val="2"/>
        <scheme val="minor"/>
      </rPr>
      <t>nicht</t>
    </r>
    <r>
      <rPr>
        <sz val="13"/>
        <color theme="1"/>
        <rFont val="Calibri"/>
        <family val="2"/>
        <scheme val="minor"/>
      </rPr>
      <t xml:space="preserve"> ökologischer/biologischer Wirtschaftsweise.</t>
    </r>
  </si>
  <si>
    <t>Funktionsweise des Rechners</t>
  </si>
  <si>
    <t>Bedienungsanleitung</t>
  </si>
  <si>
    <t>https://mwl.sachsen-anhalt.de/landwirtschaft/landwirtschaft-in-sachsen-anhalt/elektronischer-agrarantrag/</t>
  </si>
  <si>
    <r>
      <t>Auf der Tabelle „</t>
    </r>
    <r>
      <rPr>
        <b/>
        <sz val="13"/>
        <color theme="1"/>
        <rFont val="Calibri"/>
        <family val="2"/>
        <scheme val="minor"/>
      </rPr>
      <t>Rechner</t>
    </r>
    <r>
      <rPr>
        <sz val="13"/>
        <color theme="1"/>
        <rFont val="Calibri"/>
        <family val="2"/>
        <scheme val="minor"/>
      </rPr>
      <t>“ erscheint oben links eine kurze Zusammenfassung Ihrer Betriebsdaten. Rechts daneben sind die darauf basierenden Prämien nach Jahren berechnet.</t>
    </r>
  </si>
  <si>
    <r>
      <t xml:space="preserve">ha                  </t>
    </r>
    <r>
      <rPr>
        <sz val="9"/>
        <color theme="1"/>
        <rFont val="Calibri"/>
        <family val="2"/>
        <scheme val="minor"/>
      </rPr>
      <t>&lt;--</t>
    </r>
  </si>
  <si>
    <r>
      <t>Im Teil „</t>
    </r>
    <r>
      <rPr>
        <b/>
        <sz val="13"/>
        <color theme="1"/>
        <rFont val="Calibri"/>
        <family val="2"/>
        <scheme val="minor"/>
      </rPr>
      <t>Betriebsdaten</t>
    </r>
    <r>
      <rPr>
        <sz val="13"/>
        <color theme="1"/>
        <rFont val="Calibri"/>
        <family val="2"/>
        <scheme val="minor"/>
      </rPr>
      <t>“ geben Sie Ihre betriebsrelevanten Daten ein.</t>
    </r>
  </si>
  <si>
    <t>Dieser Rechner soll dem Unternehmen die Möglichkeit bieten, die Vielzahl der Fördermöglichkeiten mit ihren jeweiligen Abhängigkeiten in einem Verbund darzustellen und eine Hilfestellung für eine betriebsspezifische Beantragung von Fördermitteln zu leisten.</t>
  </si>
  <si>
    <r>
      <t xml:space="preserve">Der Rechner ist ein Kalkulationswerkzeug. </t>
    </r>
    <r>
      <rPr>
        <b/>
        <sz val="13"/>
        <color theme="1"/>
        <rFont val="Calibri"/>
        <family val="2"/>
        <scheme val="minor"/>
      </rPr>
      <t>Er setzt voraus, dass sich der Anwender im Vorfeld mit den Inhalten und Bestimmungen der Förderprogramme intensiv auseinandergesetzt hat.</t>
    </r>
  </si>
  <si>
    <r>
      <t>Im Teil „</t>
    </r>
    <r>
      <rPr>
        <b/>
        <sz val="13"/>
        <color theme="1"/>
        <rFont val="Calibri"/>
        <family val="2"/>
        <scheme val="minor"/>
      </rPr>
      <t>Rechner</t>
    </r>
    <r>
      <rPr>
        <sz val="13"/>
        <color theme="1"/>
        <rFont val="Calibri"/>
        <family val="2"/>
        <scheme val="minor"/>
      </rPr>
      <t>“ haben Sie die Möglichkeit, verschiedene Förderkombinationen auszuwählen. Er plausibilisiert Ihre Eingaben und reagiert, wenn Sie Flächen entgegen der Richtlinien fördern lassen möchten. Er zeigt Ihnen auch, ob die gemachten Eingaben richtig sind.</t>
    </r>
  </si>
  <si>
    <r>
      <t>Im Teil „</t>
    </r>
    <r>
      <rPr>
        <b/>
        <sz val="13"/>
        <color theme="1"/>
        <rFont val="Calibri"/>
        <family val="2"/>
        <scheme val="minor"/>
      </rPr>
      <t>Ergebnisse</t>
    </r>
    <r>
      <rPr>
        <sz val="13"/>
        <color theme="1"/>
        <rFont val="Calibri"/>
        <family val="2"/>
        <scheme val="minor"/>
      </rPr>
      <t>“ erfolgt eine Zusammenstellung Ihrer individuell gewählten Antragstellung. Es werden dementsprechend Orientierungswerte bezüglich der möglichen Zahlungen ausgewiesen. Ob eine Beantragung sinnvoll ist, hängt von einer Vielzahl betriebsindividueller Faktoren ab. Dies kann somit nicht mit diesem Rechner dargestellt werden.</t>
    </r>
  </si>
  <si>
    <t xml:space="preserve">Bitte beachten Sie darüber hinaus, dass bei Agrarumwelt- und Klimamaßnahmen, die erste Auszahlung erst nach Ende des ersten Verpflichtungsjahres erfolgt (Bsp.: Beantragung MS 60 zum 15.05.23, Beginn des 5 jährigen Verpflichtungszeitraumes: 01.01.24, erste Auszahlung im 1. HJ 2025). Der Rechner ist nicht in der Lage zu unterscheiden, ob die Verpflichtung bereits läuft oder erst im Folgejahr beginnen soll. </t>
  </si>
  <si>
    <t>Grundlage dieses Rechners bilden die entsprechenden Verordnungen und Merkblätter. Die Kenntnis dieser Grundlagen ist notwendig, um die einzelnen Maßnahmen und ggf. deren Kombinierbarkeit zu verstehen. Aus Gründen der Übersichtlichkeit und der Praktikabilität des Tools sind die ausführlichen Informationen zu den Förderprogrammen nicht integriert, sondern auf der Seite des MWL „ELAISA“ nachzulesen.</t>
  </si>
  <si>
    <r>
      <t>Tragen Sie auf der Tabelle „</t>
    </r>
    <r>
      <rPr>
        <b/>
        <sz val="13"/>
        <color theme="1"/>
        <rFont val="Calibri"/>
        <family val="2"/>
        <scheme val="minor"/>
      </rPr>
      <t>Betriebsdaten</t>
    </r>
    <r>
      <rPr>
        <sz val="13"/>
        <color theme="1"/>
        <rFont val="Calibri"/>
        <family val="2"/>
        <scheme val="minor"/>
      </rPr>
      <t>“ Ihre betriebsindividuellen Daten (Flächen, Tiere) ein. Klicken Sie anschließend auf „WEITER“.</t>
    </r>
  </si>
  <si>
    <r>
      <t>Kontrollieren Sie, ob der Rechner Ihnen neben einem Eingabefeld ein "</t>
    </r>
    <r>
      <rPr>
        <sz val="13"/>
        <color rgb="FFFF0000"/>
        <rFont val="Calibri"/>
        <family val="2"/>
        <scheme val="minor"/>
      </rPr>
      <t>FALSCH</t>
    </r>
    <r>
      <rPr>
        <sz val="13"/>
        <color theme="1"/>
        <rFont val="Calibri"/>
        <family val="2"/>
        <scheme val="minor"/>
      </rPr>
      <t>" anzeigt und korrigieren Sie nötigenfalls. Sind alle Eingaben richtig, dann klicken Sie auf „WEITER“.</t>
    </r>
  </si>
  <si>
    <t xml:space="preserve"> *davon Natura 2000 auf DGL</t>
  </si>
  <si>
    <r>
      <t xml:space="preserve">FNL-Fläche </t>
    </r>
    <r>
      <rPr>
        <sz val="9"/>
        <color theme="1"/>
        <rFont val="Calibri"/>
        <family val="2"/>
        <scheme val="minor"/>
      </rPr>
      <t>(Freiwillige Natur-schutzleistung auf DGL)</t>
    </r>
  </si>
  <si>
    <t>Junglandwirt (JL)</t>
  </si>
  <si>
    <t>AFo</t>
  </si>
  <si>
    <t>Agroforst (AFo)</t>
  </si>
  <si>
    <t>AGZ/ Natura gesamt</t>
  </si>
  <si>
    <t>AGZ/ Natura</t>
  </si>
  <si>
    <t>JL ab</t>
  </si>
  <si>
    <t>Anzahl</t>
  </si>
  <si>
    <t>RGV-Besatz/ ha DGL</t>
  </si>
  <si>
    <t>Die neue Förderperiode bringt viele Veränderungen mit sich, die sich nicht nur auf die Einkommensgrundstützung beziehen. Die Komplexität der Maßnahmen und Verpflichtungen und die richtige betriebsindividuelle Entscheidung zu treffen, stellen für den Antragsteller eine große Herausforderung dar.</t>
  </si>
  <si>
    <r>
      <t xml:space="preserve">ha                  </t>
    </r>
    <r>
      <rPr>
        <sz val="8"/>
        <color theme="1"/>
        <rFont val="Calibri"/>
        <family val="2"/>
        <scheme val="minor"/>
      </rPr>
      <t xml:space="preserve"> &lt;--</t>
    </r>
  </si>
  <si>
    <r>
      <t xml:space="preserve">ha                   </t>
    </r>
    <r>
      <rPr>
        <sz val="8"/>
        <color theme="1"/>
        <rFont val="Calibri"/>
        <family val="2"/>
        <scheme val="minor"/>
      </rPr>
      <t>&lt;--</t>
    </r>
  </si>
  <si>
    <r>
      <t xml:space="preserve">ha          </t>
    </r>
    <r>
      <rPr>
        <sz val="8"/>
        <color theme="1"/>
        <rFont val="Calibri"/>
        <family val="2"/>
        <scheme val="minor"/>
      </rPr>
      <t xml:space="preserve">       </t>
    </r>
    <r>
      <rPr>
        <sz val="11"/>
        <color theme="1"/>
        <rFont val="Calibri"/>
        <family val="2"/>
        <scheme val="minor"/>
      </rPr>
      <t xml:space="preserve">   </t>
    </r>
    <r>
      <rPr>
        <sz val="8"/>
        <color theme="1"/>
        <rFont val="Calibri"/>
        <family val="2"/>
        <scheme val="minor"/>
      </rPr>
      <t>&lt;--</t>
    </r>
  </si>
  <si>
    <t>N2000 DGL</t>
  </si>
  <si>
    <t>AGZ</t>
  </si>
  <si>
    <t xml:space="preserve">       nach GAPKondV §22</t>
  </si>
  <si>
    <t>nach dem GV-Schlüssel nach (EU) Nr. 808/2014 Anhang 2</t>
  </si>
  <si>
    <t xml:space="preserve">GLÖZ 8 - Ausnahme </t>
  </si>
  <si>
    <t>RGV-Besatz manuell</t>
  </si>
  <si>
    <t>RGV-Besatz = min. 0,3 und max. 1,4 pro ha DGL für ÖR4</t>
  </si>
  <si>
    <t>Natura 2000 - Fläche</t>
  </si>
  <si>
    <r>
      <rPr>
        <i/>
        <u/>
        <sz val="11"/>
        <color theme="1"/>
        <rFont val="Calibri"/>
        <family val="2"/>
        <scheme val="minor"/>
      </rPr>
      <t>Hinweis:</t>
    </r>
    <r>
      <rPr>
        <i/>
        <sz val="11"/>
        <color theme="1"/>
        <rFont val="Calibri"/>
        <family val="2"/>
        <scheme val="minor"/>
      </rPr>
      <t xml:space="preserve"> Das Feld GLÖZ 8 – Ausnahme bezieht sich auf Ausnahmen nach §22 GAP-Konditionalitäten-Verordnung. Die nur in 2023 geltenden Ausnahmen von der Stilllegungsverpflichtung kann der Rechner nicht abbilden.</t>
    </r>
  </si>
  <si>
    <t>Die Bildschirmansicht ist per Zoommodus individuell einstellbar (grüne Zeile unten rechts).
Der Rechner ist in drei Teile gegliedert:</t>
  </si>
  <si>
    <t>hier die AUKM/AGZ/Natura-Zahlungen der letzten Förderjahre 2021 und 2022 eintragen</t>
  </si>
  <si>
    <t>vorhanden sind sonstige</t>
  </si>
  <si>
    <t>Rinder</t>
  </si>
  <si>
    <t>Schafe/ Ziegen</t>
  </si>
  <si>
    <r>
      <t xml:space="preserve">ha   </t>
    </r>
    <r>
      <rPr>
        <sz val="10"/>
        <color rgb="FFFF0000"/>
        <rFont val="Calibri"/>
        <family val="2"/>
        <scheme val="minor"/>
      </rPr>
      <t>!Flächen auf DGL in Natura 2000 - Kulisse auch unter FNL-Fläche mit eintragen!</t>
    </r>
  </si>
  <si>
    <t xml:space="preserve">Einkommensgrundstützung </t>
  </si>
  <si>
    <t>(bis 2022 noch Basisprämie)</t>
  </si>
  <si>
    <t xml:space="preserve">Greeningprämie </t>
  </si>
  <si>
    <t>(entfällt ab 2023)</t>
  </si>
  <si>
    <t>Junglandwirte-Einkommensstützung</t>
  </si>
  <si>
    <t xml:space="preserve">Einkommensstützung gesamt  </t>
  </si>
  <si>
    <r>
      <t xml:space="preserve">(UES) ersten 30 ha/ 40 ha (ab 2023)  </t>
    </r>
    <r>
      <rPr>
        <i/>
        <sz val="10"/>
        <color theme="1"/>
        <rFont val="Calibri"/>
        <family val="2"/>
        <scheme val="minor"/>
      </rPr>
      <t>Förderhöhe in</t>
    </r>
  </si>
  <si>
    <t>(UES) weiteren 16 ha/ 20 ha (ab 2023)</t>
  </si>
  <si>
    <t>Umverteilungseinkommensstützung (UES)</t>
  </si>
  <si>
    <t>Zahlung für Mutterkühe</t>
  </si>
  <si>
    <t>Zahlung für Mutterschafe und -ziegen</t>
  </si>
  <si>
    <t xml:space="preserve">gekoppelte Zahlung für Muttertiere </t>
  </si>
  <si>
    <t>Einkommensstützung gesamt</t>
  </si>
  <si>
    <t>gekoppelte Zahlungen für Muttertiere gesamt</t>
  </si>
  <si>
    <t>FNL - Zuwendung gesamt</t>
  </si>
  <si>
    <t>ÖR - Unterstützung gesamt</t>
  </si>
  <si>
    <t>MSUL - Zuwendung gesamt</t>
  </si>
  <si>
    <t>/ha DGL</t>
  </si>
  <si>
    <r>
      <t>Unterhalb Ihrer Betriebsdaten können Sie in den farblich markierten Feldern die Aufteilung der von Ihnen vorgesehenen Flächen zu den einzelnen Öko-Regelungen und den Agarumwelt- und Klimamaßnahmen eintragen. Teilweise sind in den Eingabefeldern zusätzliche Informationen hinterlegt. Um diese einzusehen</t>
    </r>
    <r>
      <rPr>
        <sz val="13"/>
        <rFont val="Calibri"/>
        <family val="2"/>
        <scheme val="minor"/>
      </rPr>
      <t>,</t>
    </r>
    <r>
      <rPr>
        <sz val="13"/>
        <color theme="1"/>
        <rFont val="Calibri"/>
        <family val="2"/>
        <scheme val="minor"/>
      </rPr>
      <t xml:space="preserve"> bewegen Sie bitte Ihren Mauszeiger auf das jeweilige Feld. Die Förderhöhen werden ebenfalls rechts daneben automatisch berechnet und angezeigt. </t>
    </r>
  </si>
  <si>
    <t>Am Ende der Tabelle finden Sie zur Eigenkontrolle eine Übersicht aller von Ihnen ausgewählten Öko-Regelungen und Agrarumwelt- und Klimamaßnahmen.</t>
  </si>
  <si>
    <t>Ökoregelungen/AUKM</t>
  </si>
  <si>
    <t>DZ-0401-01</t>
  </si>
  <si>
    <t>DZ-0401-02</t>
  </si>
  <si>
    <t>DZ-0401-03</t>
  </si>
  <si>
    <t>DZ-0401-04</t>
  </si>
  <si>
    <t>DZ-0402</t>
  </si>
  <si>
    <t>DZ-0403</t>
  </si>
  <si>
    <t>DZ-0404</t>
  </si>
  <si>
    <t>DZ-0405</t>
  </si>
  <si>
    <t>DZ-0406</t>
  </si>
  <si>
    <t>DZ-0407</t>
  </si>
  <si>
    <t>Förderung des ökologischen Landbaus</t>
  </si>
  <si>
    <t>Förderung der extensiven Bewirtschaftung von Dauergrünlandflächen
MSUL-Grünland</t>
  </si>
  <si>
    <t xml:space="preserve"> Förderung von Freiwilligen Naturschutzleistungen</t>
  </si>
  <si>
    <t>Ausgleichszahlungen</t>
  </si>
  <si>
    <t xml:space="preserve">ÖR 1a
Nichtproduktive Flächen auf Ackerland
</t>
  </si>
  <si>
    <t xml:space="preserve">ÖR 1b
Anlage von Blühstreifen oder -flächen auf Ackerland
</t>
  </si>
  <si>
    <t xml:space="preserve">ÖR 1c
Anlage von Blühstreifen oder -flächen in Dauerkulturen
</t>
  </si>
  <si>
    <t xml:space="preserve">ÖR 1d
Altgrasstreifen oder -flächen in Dauergrünland
</t>
  </si>
  <si>
    <t xml:space="preserve">ÖR 2
Anbau vielfältiger Kulturen mit mind. 5 Hauptfruchtarten im Ackerbau einschl.  Anbaus von Leguminosen mit Mindestanteil von 10 %
</t>
  </si>
  <si>
    <t xml:space="preserve">ÖR 3
Beibehaltung einer agroforstlichen 
Bewirtschaftungsweise auf Acker- und Dauergrünland
</t>
  </si>
  <si>
    <t xml:space="preserve">ÖR 4
Extensivierung des gesamten Dauergrünlands des Betriebs
</t>
  </si>
  <si>
    <t>ÖR 5
Ergebnisori. exten. Bewirt. von Dauergrünlandflächen mit Nachweis 
von mindestens 4 regionalen Kennarten</t>
  </si>
  <si>
    <t xml:space="preserve">ÖR 6
Bewirt. von Acker- oder Dauerkulturflächen ohne 
Verwendung von chem.-synthet. Pflanzenschutzmitteln
</t>
  </si>
  <si>
    <t xml:space="preserve">ÖR 7
Anwendung von durch die Schutzziele bestimmten Landbewirtschaftungsmethoden auf 
landwirtschaftlichen Flächen in Natura 2000-Gebieten
</t>
  </si>
  <si>
    <t>GLÖZ 4: 3 Meter Pufferstreifen an Gewässerläufen</t>
  </si>
  <si>
    <t>GLÖZ 7: Fruchtwechsel auf dem Ackerland</t>
  </si>
  <si>
    <t>GLÖZ 8: Mindestens 4% der Ackerfläche Stillegung</t>
  </si>
  <si>
    <t>Einführung/Beibehaltung ökologischen/biologischen Landbau Ackerbau</t>
  </si>
  <si>
    <t>Einführung/Beibehaltung ökologischen/biologischen Landbau Grünland</t>
  </si>
  <si>
    <t>Einführung/Beibehaltung ökologischen/biologischen Landbau Gemüse</t>
  </si>
  <si>
    <t>Einführung/Beibehaltung ökologischen/biologischen Landbau Dauerkulturen</t>
  </si>
  <si>
    <t xml:space="preserve">mehrjähriger Blühstreifen und mehrjährige Blühflächen </t>
  </si>
  <si>
    <t>Extensive Grünlandbewirtschaftung mit Anlage einer einjährigen Schonfläche</t>
  </si>
  <si>
    <t>Extensive Grünlandbewirtschaftung mit Anlage einer 
zweijährigen Schonfläche</t>
  </si>
  <si>
    <t>Beweidung durch Schafe, Ziegen oder Schafe und Ziegen</t>
  </si>
  <si>
    <t>Beweidung durch Schafe, Ziegen oder Schafe und Ziegen und Anlage einer einjährigen Schonfläche</t>
  </si>
  <si>
    <t xml:space="preserve">Beweidung durch Schafe, Ziegen oder Schafe und Ziegen und Anlage einer zweijährigen Schonfläche </t>
  </si>
  <si>
    <t xml:space="preserve"> extensiven Obstbeständen
</t>
  </si>
  <si>
    <t>Erstmahd vor 15.06. und Zweitnutzung nach 1.09.</t>
  </si>
  <si>
    <t>Erstmahd nach dem 15.07.</t>
  </si>
  <si>
    <t>Beweidung mit Schafen und Ziegen</t>
  </si>
  <si>
    <t>Beweidung mit Rinder</t>
  </si>
  <si>
    <t xml:space="preserve"> Beweidung mit Schafen und/oder Ziegen in Hütehaltung</t>
  </si>
  <si>
    <t>Natura 2000</t>
  </si>
  <si>
    <t>PSM Ausgleich</t>
  </si>
  <si>
    <t>▬</t>
  </si>
  <si>
    <t>ꓕ</t>
  </si>
  <si>
    <t xml:space="preserve">( ) </t>
  </si>
  <si>
    <t>Die Kombination GLÖZ und ÖR muss die 54 liefern</t>
  </si>
  <si>
    <t xml:space="preserve">ÖR 3
Beibehaltung einer agroforstlichen Bewirtschaftungsweise auf Acker- und Dauergrünland
</t>
  </si>
  <si>
    <t>↔</t>
  </si>
  <si>
    <t>↓</t>
  </si>
  <si>
    <t>ÖR 5
Ergebnisori. exten. Bewirt. von Dauergrünlandflächen mit Nachweis von mindestens 4 regionalen Kennarten</t>
  </si>
  <si>
    <t xml:space="preserve">ÖR 7
Anwendung von durch die Schutzziele bestimmten Landbewirtschaftungsmethoden auf landwirtschaftlichen Flächen in Natura 2000-Gebieten
</t>
  </si>
  <si>
    <t>↙</t>
  </si>
  <si>
    <t xml:space="preserve">
Einführung/Beibehaltung ökologischen/biologischen Landbau Ackerbau</t>
  </si>
  <si>
    <t>x</t>
  </si>
  <si>
    <t>▲</t>
  </si>
  <si>
    <t xml:space="preserve">P </t>
  </si>
  <si>
    <t xml:space="preserve">
Einführung/Beibehaltung ökologischen/biologischen Landbau Grünland</t>
  </si>
  <si>
    <r>
      <t>▬</t>
    </r>
    <r>
      <rPr>
        <b/>
        <vertAlign val="superscript"/>
        <sz val="16"/>
        <rFont val="Arial"/>
        <family val="2"/>
      </rPr>
      <t>1)</t>
    </r>
  </si>
  <si>
    <t xml:space="preserve">
Einführung/Beibehaltung ökologischen/biologischen Landbau Gemüse</t>
  </si>
  <si>
    <t>P</t>
  </si>
  <si>
    <t xml:space="preserve">
Einführung/Beibehaltung ökologischen/biologischen Landbau Dauerkulturen</t>
  </si>
  <si>
    <t>Extensive Grünlandbewirtschaftung mit Anlage einer zweijährigen Schonfläche</t>
  </si>
  <si>
    <t xml:space="preserve"> Beweidung durch Schafe, Ziegen oder Schafe und Ziegen und Anlage einer zweijährigen Schonfläche </t>
  </si>
  <si>
    <t>Kombination auf derselben Fläche zulässig</t>
  </si>
  <si>
    <t>Kombination auf der Fläche möglich mit Prämienabzug bei Öko-Prämie oder Ausgleichzahlungen</t>
  </si>
  <si>
    <t>Kombination auf derselben Fläche nicht zulässig</t>
  </si>
  <si>
    <t>( )</t>
  </si>
  <si>
    <t>Keine Überlappung zulässig</t>
  </si>
  <si>
    <t>Liegt die Fläche in der PSM-Kulisse ist der Ausgleich möglich. Fläche muss trotzdem ökologisch bewirtschaftet werden, GAK-Ökoprämie wird nicht gezahlt.</t>
  </si>
  <si>
    <t>Kombination auf derselben Fläche zulässig.Zahlung der höheren Zuwendung</t>
  </si>
  <si>
    <t>Fläche ist beantragbar. Keine Zahlung der MSUL oder Öko-Prämie</t>
  </si>
  <si>
    <t>Keine Förderung der Nebennutzungsfläche (NNF) Agroforst</t>
  </si>
  <si>
    <t>Fläche ist beantragbar, Anspruch auf Prämie da pauschale Kürzung der Prämie</t>
  </si>
  <si>
    <t>1)</t>
  </si>
  <si>
    <t>Prämie im Ökolandbau ist höher als bei MSUL-Grünland, freiwillige Durchführung der MSUL-Grünlandmaßnahme ist unentgeltlich möglich</t>
  </si>
  <si>
    <t xml:space="preserve">Altmaßnahmen keine Anwendung der GLÖZ </t>
  </si>
  <si>
    <t>Ausgleichs-zahlungen</t>
  </si>
  <si>
    <t>Herzlich Willkommen beim Prämienrechner der LLG</t>
  </si>
  <si>
    <t>Prämienrechner</t>
  </si>
  <si>
    <r>
      <rPr>
        <sz val="13"/>
        <rFont val="Calibri"/>
        <family val="2"/>
        <scheme val="minor"/>
      </rPr>
      <t>Er</t>
    </r>
    <r>
      <rPr>
        <sz val="13"/>
        <color theme="1"/>
        <rFont val="Calibri"/>
        <family val="2"/>
        <scheme val="minor"/>
      </rPr>
      <t xml:space="preserve"> ist ein kostenloses Hilfsmittel zur Antragstellung und bietet lediglich Orientierungswerte. Insbesondere sind die ermittelten Werte kein Vorgriff auf das Antragsverfahren und dessen Ergebnisse. Die zugrunde liegende Software wurde zwar mit größtmöglicher Sorgfalt erstellt, dennoch kann für deren Funktion und  Ergebnisse keine Gewähr übernommen werden. Die LLG schließt daher jegliche Haftung für Mängel aus, außer für Vorsatz, insbesondere das arglistige Verschweigen von Mängeln und grobe Fahrlässigkeit. Der Haftungsausschluss erstreckt sich insbesondere auf betriebliche Entscheidungen, die auf Basis der Orientierungswerte getroffen werden und deren weitere Folgen. </t>
    </r>
  </si>
  <si>
    <r>
      <t>Ergänzt wird der Rechner durch die „</t>
    </r>
    <r>
      <rPr>
        <b/>
        <sz val="13"/>
        <color theme="1"/>
        <rFont val="Calibri"/>
        <family val="2"/>
        <scheme val="minor"/>
      </rPr>
      <t>Kombinationstabelle</t>
    </r>
    <r>
      <rPr>
        <sz val="13"/>
        <color theme="1"/>
        <rFont val="Calibri"/>
        <family val="2"/>
        <scheme val="minor"/>
      </rPr>
      <t>“, die zusammenfasst, welche Fördermaßnahmen theoretisch kombinierbar sind.</t>
    </r>
  </si>
  <si>
    <r>
      <t>In der Tabelle</t>
    </r>
    <r>
      <rPr>
        <b/>
        <sz val="13"/>
        <color theme="1"/>
        <rFont val="Calibri"/>
        <family val="2"/>
        <scheme val="minor"/>
      </rPr>
      <t xml:space="preserve"> „Ergebnisse“</t>
    </r>
    <r>
      <rPr>
        <sz val="13"/>
        <color theme="1"/>
        <rFont val="Calibri"/>
        <family val="2"/>
        <scheme val="minor"/>
      </rPr>
      <t xml:space="preserve"> erhalten Sie die endgültige Auswertung zur gesamten Höhe der möglichen Förderung auf Basis Ihrer Angaben in tabellarischer und grafischer Form.</t>
    </r>
  </si>
  <si>
    <t>Gesamt</t>
  </si>
  <si>
    <t>Mutterschaf/-ziege (MS/Z)</t>
  </si>
  <si>
    <t>Mutterkühe (MK)</t>
  </si>
  <si>
    <t>Höhe der Junglandwirte-Einkommensstützung</t>
  </si>
  <si>
    <t>Natura (min. 0,3 RGV/ ha DGL) (N2000)</t>
  </si>
  <si>
    <t>Natura (unter 0,3 RGV/ ha DGL) (N2000)</t>
  </si>
  <si>
    <r>
      <t xml:space="preserve">Zahlung gesamt </t>
    </r>
    <r>
      <rPr>
        <b/>
        <sz val="11"/>
        <color rgb="FFCC0000"/>
        <rFont val="Calibri"/>
        <family val="2"/>
        <scheme val="minor"/>
      </rPr>
      <t>ohne</t>
    </r>
    <r>
      <rPr>
        <b/>
        <sz val="11"/>
        <color theme="1"/>
        <rFont val="Calibri"/>
        <family val="2"/>
        <scheme val="minor"/>
      </rPr>
      <t xml:space="preserve"> AUKM/AGZ/Natura</t>
    </r>
  </si>
  <si>
    <r>
      <t xml:space="preserve">Zahlung gesamt </t>
    </r>
    <r>
      <rPr>
        <b/>
        <sz val="11"/>
        <color rgb="FFCC0000"/>
        <rFont val="Calibri"/>
        <family val="2"/>
        <scheme val="minor"/>
      </rPr>
      <t>mit</t>
    </r>
    <r>
      <rPr>
        <b/>
        <sz val="11"/>
        <color theme="1"/>
        <rFont val="Calibri"/>
        <family val="2"/>
        <scheme val="minor"/>
      </rPr>
      <t xml:space="preserve"> AUKM/AGZ/Natura</t>
    </r>
  </si>
  <si>
    <t>Zahlung gesamt ohne AUKM/AGZ/Natura</t>
  </si>
  <si>
    <t>Zahlung gesamt mit AUKM/AGZ/Natura</t>
  </si>
  <si>
    <t>Zahlung ohne AUKM/AGZ/Natura</t>
  </si>
  <si>
    <t>Zahlung mit AUKM/AGZ/Natura</t>
  </si>
  <si>
    <t>gek. Zahlung f. Muttertiere</t>
  </si>
  <si>
    <t>ÖR-Unterstützung</t>
  </si>
  <si>
    <t xml:space="preserve">MSUL </t>
  </si>
  <si>
    <t>Einkommensstützung</t>
  </si>
  <si>
    <t>JL-Einkommensstützung</t>
  </si>
  <si>
    <t>Auswertung - betriebliche Zahlungshöhe (in €/ Betrieb)</t>
  </si>
  <si>
    <t>Auswertung - Zahlung pro Hektar (in €/ Hektar LF)</t>
  </si>
  <si>
    <r>
      <rPr>
        <i/>
        <u/>
        <sz val="11"/>
        <color theme="1"/>
        <rFont val="Calibri"/>
        <family val="2"/>
        <scheme val="minor"/>
      </rPr>
      <t>Hinweis:</t>
    </r>
    <r>
      <rPr>
        <i/>
        <sz val="11"/>
        <color theme="1"/>
        <rFont val="Calibri"/>
        <family val="2"/>
        <scheme val="minor"/>
      </rPr>
      <t xml:space="preserve"> Es wird davon ausgegangen, dass für alle angegebenen Hektare auch schon in 2021/22 Zahlungsansprüche bestanden.</t>
    </r>
  </si>
  <si>
    <r>
      <t>Hinweis:</t>
    </r>
    <r>
      <rPr>
        <i/>
        <sz val="11"/>
        <color theme="1"/>
        <rFont val="Calibri"/>
        <family val="2"/>
        <scheme val="minor"/>
      </rPr>
      <t xml:space="preserve"> In manchen Fällen begrenzen sich die Förderungen untereinander (Bsp.:  Lt. Vorgabe dürfen auf einem Altgrasstreifen MSUL-Zuwendungen beantragt werden. Auf der Fläche des Altgrasstreifens wird jedoch nur die Förderung für ÖR1d bezahlt). Beachten Sie daher bitte genau die Auswirkungen der einzelnen Förderungen.</t>
    </r>
  </si>
  <si>
    <r>
      <t xml:space="preserve">Bei </t>
    </r>
    <r>
      <rPr>
        <b/>
        <sz val="13"/>
        <color theme="1"/>
        <rFont val="Calibri"/>
        <family val="2"/>
        <scheme val="minor"/>
      </rPr>
      <t>Fragen</t>
    </r>
    <r>
      <rPr>
        <sz val="13"/>
        <color theme="1"/>
        <rFont val="Calibri"/>
        <family val="2"/>
        <scheme val="minor"/>
      </rPr>
      <t xml:space="preserve"> oder </t>
    </r>
    <r>
      <rPr>
        <b/>
        <sz val="13"/>
        <color theme="1"/>
        <rFont val="Calibri"/>
        <family val="2"/>
        <scheme val="minor"/>
      </rPr>
      <t>Anregungen</t>
    </r>
    <r>
      <rPr>
        <sz val="13"/>
        <color theme="1"/>
        <rFont val="Calibri"/>
        <family val="2"/>
        <scheme val="minor"/>
      </rPr>
      <t xml:space="preserve"> wenden Sie sich bitte an Herrn Schröder unter „</t>
    </r>
    <r>
      <rPr>
        <b/>
        <sz val="13"/>
        <color theme="1"/>
        <rFont val="Calibri"/>
        <family val="2"/>
        <scheme val="minor"/>
      </rPr>
      <t>henning.schroeder@llg.mule.sachsen-anhalt.de</t>
    </r>
    <r>
      <rPr>
        <sz val="13"/>
        <color theme="1"/>
        <rFont val="Calibri"/>
        <family val="2"/>
        <scheme val="minor"/>
      </rPr>
      <t>“.</t>
    </r>
  </si>
  <si>
    <t>bei abweichendem RGV-Besatz hier Individuellen eintragen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</si>
</sst>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quot;_-;\-* #,##0.00\ &quot;€&quot;_-;_-* &quot;-&quot;??\ &quot;€&quot;_-;_-@_-"/>
    <numFmt numFmtId="164" formatCode="0.0"/>
    <numFmt numFmtId="165" formatCode="_-* #,##0\ &quot;€&quot;_-;\-* #,##0\ &quot;€&quot;_-;_-* &quot;-&quot;??\ &quot;€&quot;_-;_-@_-"/>
    <numFmt numFmtId="166" formatCode="0.0%"/>
    <numFmt numFmtId="167" formatCode="#,##0.0"/>
    <numFmt numFmtId="168" formatCode="0.0000"/>
  </numFmts>
  <fonts count="4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b/>
      <sz val="11"/>
      <color rgb="FFFF0000"/>
      <name val="Calibri"/>
      <family val="2"/>
      <scheme val="minor"/>
    </font>
    <font>
      <sz val="8"/>
      <color theme="1"/>
      <name val="Calibri"/>
      <family val="2"/>
      <scheme val="minor"/>
    </font>
    <font>
      <sz val="9"/>
      <color theme="1"/>
      <name val="Calibri"/>
      <family val="2"/>
      <scheme val="minor"/>
    </font>
    <font>
      <sz val="11"/>
      <name val="Calibri"/>
      <family val="2"/>
      <scheme val="minor"/>
    </font>
    <font>
      <sz val="9.5"/>
      <color theme="1"/>
      <name val="Calibri"/>
      <family val="2"/>
      <scheme val="minor"/>
    </font>
    <font>
      <sz val="9"/>
      <color indexed="81"/>
      <name val="Segoe UI"/>
      <family val="2"/>
    </font>
    <font>
      <sz val="9"/>
      <color rgb="FFFF0000"/>
      <name val="Arial Rounded MT Bold"/>
      <family val="2"/>
    </font>
    <font>
      <sz val="11"/>
      <color theme="1"/>
      <name val="Calibri"/>
      <family val="2"/>
    </font>
    <font>
      <b/>
      <sz val="12"/>
      <color theme="1"/>
      <name val="Calibri"/>
      <family val="2"/>
      <scheme val="minor"/>
    </font>
    <font>
      <sz val="12"/>
      <color theme="1"/>
      <name val="Calibri"/>
      <family val="2"/>
      <scheme val="minor"/>
    </font>
    <font>
      <sz val="12"/>
      <color rgb="FFFF0000"/>
      <name val="Calibri"/>
      <family val="2"/>
      <scheme val="minor"/>
    </font>
    <font>
      <b/>
      <sz val="14"/>
      <color theme="1"/>
      <name val="Calibri"/>
      <family val="2"/>
      <scheme val="minor"/>
    </font>
    <font>
      <b/>
      <sz val="16"/>
      <name val="Calibri"/>
      <family val="2"/>
      <scheme val="minor"/>
    </font>
    <font>
      <u/>
      <sz val="11"/>
      <color theme="10"/>
      <name val="Calibri"/>
      <family val="2"/>
      <scheme val="minor"/>
    </font>
    <font>
      <i/>
      <sz val="10"/>
      <color theme="1"/>
      <name val="Calibri"/>
      <family val="2"/>
      <scheme val="minor"/>
    </font>
    <font>
      <sz val="8"/>
      <name val="Calibri"/>
      <family val="2"/>
      <scheme val="minor"/>
    </font>
    <font>
      <sz val="13"/>
      <color rgb="FF000000"/>
      <name val="Calibri"/>
      <family val="2"/>
      <scheme val="minor"/>
    </font>
    <font>
      <sz val="13"/>
      <color theme="1"/>
      <name val="Calibri"/>
      <family val="2"/>
      <scheme val="minor"/>
    </font>
    <font>
      <b/>
      <sz val="13"/>
      <color theme="1"/>
      <name val="Calibri"/>
      <family val="2"/>
      <scheme val="minor"/>
    </font>
    <font>
      <i/>
      <sz val="11"/>
      <color theme="1"/>
      <name val="Calibri"/>
      <family val="2"/>
      <scheme val="minor"/>
    </font>
    <font>
      <u/>
      <sz val="13"/>
      <color theme="1"/>
      <name val="Calibri"/>
      <family val="2"/>
      <scheme val="minor"/>
    </font>
    <font>
      <u/>
      <sz val="13"/>
      <color theme="10"/>
      <name val="Calibri"/>
      <family val="2"/>
      <scheme val="minor"/>
    </font>
    <font>
      <i/>
      <u/>
      <sz val="11"/>
      <color theme="1"/>
      <name val="Calibri"/>
      <family val="2"/>
      <scheme val="minor"/>
    </font>
    <font>
      <sz val="13"/>
      <name val="Calibri"/>
      <family val="2"/>
      <scheme val="minor"/>
    </font>
    <font>
      <sz val="13"/>
      <color rgb="FFFF0000"/>
      <name val="Calibri"/>
      <family val="2"/>
      <scheme val="minor"/>
    </font>
    <font>
      <sz val="9"/>
      <color rgb="FFFF0000"/>
      <name val="Calibri"/>
      <family val="2"/>
      <scheme val="minor"/>
    </font>
    <font>
      <sz val="10"/>
      <color rgb="FFFF0000"/>
      <name val="Calibri"/>
      <family val="2"/>
      <scheme val="minor"/>
    </font>
    <font>
      <b/>
      <sz val="11"/>
      <color rgb="FFCC0000"/>
      <name val="Calibri"/>
      <family val="2"/>
      <scheme val="minor"/>
    </font>
    <font>
      <sz val="12"/>
      <color rgb="FF000000"/>
      <name val="Arial"/>
      <family val="2"/>
    </font>
    <font>
      <sz val="10"/>
      <name val="Arial"/>
      <family val="2"/>
    </font>
    <font>
      <b/>
      <sz val="14"/>
      <color theme="1"/>
      <name val="Arial"/>
      <family val="2"/>
    </font>
    <font>
      <b/>
      <sz val="14"/>
      <name val="Arial"/>
      <family val="2"/>
    </font>
    <font>
      <b/>
      <sz val="18"/>
      <color theme="1"/>
      <name val="Calibri"/>
      <family val="2"/>
    </font>
    <font>
      <sz val="18"/>
      <color theme="1"/>
      <name val="Calibri"/>
      <family val="2"/>
    </font>
    <font>
      <b/>
      <sz val="14"/>
      <name val="Calibri"/>
      <family val="2"/>
    </font>
    <font>
      <b/>
      <sz val="18"/>
      <color rgb="FFFF0000"/>
      <name val="Calibri"/>
      <family val="2"/>
    </font>
    <font>
      <b/>
      <sz val="18"/>
      <name val="Calibri"/>
      <family val="2"/>
    </font>
    <font>
      <b/>
      <sz val="14"/>
      <color rgb="FFFF0000"/>
      <name val="Arial"/>
      <family val="2"/>
    </font>
    <font>
      <b/>
      <sz val="16"/>
      <name val="Arial"/>
      <family val="2"/>
    </font>
    <font>
      <b/>
      <vertAlign val="superscript"/>
      <sz val="16"/>
      <name val="Arial"/>
      <family val="2"/>
    </font>
    <font>
      <b/>
      <sz val="16"/>
      <color theme="1"/>
      <name val="Calibri"/>
      <family val="2"/>
    </font>
    <font>
      <b/>
      <sz val="9"/>
      <color indexed="81"/>
      <name val="Segoe UI"/>
      <family val="2"/>
    </font>
  </fonts>
  <fills count="32">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7" tint="0.39997558519241921"/>
        <bgColor indexed="64"/>
      </patternFill>
    </fill>
    <fill>
      <patternFill patternType="solid">
        <fgColor theme="0"/>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rgb="FFEFDB47"/>
        <bgColor indexed="64"/>
      </patternFill>
    </fill>
    <fill>
      <patternFill patternType="solid">
        <fgColor rgb="FFECF4FA"/>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9" tint="-0.249977111117893"/>
        <bgColor indexed="64"/>
      </patternFill>
    </fill>
    <fill>
      <patternFill patternType="solid">
        <fgColor theme="1"/>
        <bgColor indexed="64"/>
      </patternFill>
    </fill>
    <fill>
      <patternFill patternType="solid">
        <fgColor theme="0" tint="-0.499984740745262"/>
        <bgColor indexed="64"/>
      </patternFill>
    </fill>
    <fill>
      <patternFill patternType="solid">
        <fgColor theme="7" tint="-0.249977111117893"/>
        <bgColor indexed="64"/>
      </patternFill>
    </fill>
    <fill>
      <patternFill patternType="solid">
        <fgColor rgb="FFFFF2CC"/>
        <bgColor indexed="64"/>
      </patternFill>
    </fill>
    <fill>
      <patternFill patternType="solid">
        <fgColor rgb="FFFFC000"/>
        <bgColor indexed="64"/>
      </patternFill>
    </fill>
    <fill>
      <patternFill patternType="solid">
        <fgColor rgb="FFFFB3BE"/>
        <bgColor indexed="64"/>
      </patternFill>
    </fill>
    <fill>
      <patternFill patternType="solid">
        <fgColor theme="0" tint="-0.14999847407452621"/>
        <bgColor indexed="64"/>
      </patternFill>
    </fill>
    <fill>
      <patternFill patternType="solid">
        <fgColor rgb="FFFFDDE1"/>
        <bgColor indexed="64"/>
      </patternFill>
    </fill>
    <fill>
      <patternFill patternType="solid">
        <fgColor rgb="FFD5ABFF"/>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99CCFF"/>
        <bgColor indexed="64"/>
      </patternFill>
    </fill>
    <fill>
      <patternFill patternType="solid">
        <fgColor theme="2"/>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style="double">
        <color indexed="64"/>
      </left>
      <right/>
      <top/>
      <bottom/>
      <diagonal/>
    </border>
    <border>
      <left/>
      <right style="double">
        <color indexed="64"/>
      </right>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ck">
        <color indexed="64"/>
      </left>
      <right/>
      <top/>
      <bottom style="thin">
        <color indexed="64"/>
      </bottom>
      <diagonal/>
    </border>
    <border>
      <left style="thick">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style="thick">
        <color indexed="64"/>
      </left>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thin">
        <color indexed="64"/>
      </top>
      <bottom/>
      <diagonal/>
    </border>
    <border>
      <left/>
      <right style="thick">
        <color indexed="64"/>
      </right>
      <top/>
      <bottom/>
      <diagonal/>
    </border>
    <border>
      <left/>
      <right style="thick">
        <color indexed="64"/>
      </right>
      <top style="thick">
        <color indexed="64"/>
      </top>
      <bottom/>
      <diagonal/>
    </border>
    <border>
      <left/>
      <right/>
      <top style="thick">
        <color indexed="64"/>
      </top>
      <bottom/>
      <diagonal/>
    </border>
    <border>
      <left style="thick">
        <color indexed="64"/>
      </left>
      <right/>
      <top style="thick">
        <color indexed="64"/>
      </top>
      <bottom/>
      <diagonal/>
    </border>
    <border>
      <left style="thick">
        <color indexed="64"/>
      </left>
      <right style="double">
        <color indexed="64"/>
      </right>
      <top/>
      <bottom/>
      <diagonal/>
    </border>
    <border>
      <left/>
      <right/>
      <top/>
      <bottom style="thick">
        <color indexed="64"/>
      </bottom>
      <diagonal/>
    </border>
    <border>
      <left/>
      <right style="thick">
        <color indexed="64"/>
      </right>
      <top/>
      <bottom style="thick">
        <color indexed="64"/>
      </bottom>
      <diagonal/>
    </border>
    <border>
      <left/>
      <right style="thin">
        <color indexed="64"/>
      </right>
      <top/>
      <bottom style="thick">
        <color indexed="64"/>
      </bottom>
      <diagonal/>
    </border>
    <border>
      <left style="thick">
        <color indexed="64"/>
      </left>
      <right/>
      <top/>
      <bottom style="thick">
        <color indexed="64"/>
      </bottom>
      <diagonal/>
    </border>
    <border>
      <left style="thin">
        <color indexed="64"/>
      </left>
      <right style="double">
        <color indexed="64"/>
      </right>
      <top/>
      <bottom style="thick">
        <color indexed="64"/>
      </bottom>
      <diagonal/>
    </border>
    <border>
      <left style="thin">
        <color indexed="64"/>
      </left>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double">
        <color indexed="64"/>
      </top>
      <bottom style="double">
        <color indexed="64"/>
      </bottom>
      <diagonal/>
    </border>
    <border>
      <left style="thin">
        <color indexed="64"/>
      </left>
      <right/>
      <top/>
      <bottom style="medium">
        <color indexed="64"/>
      </bottom>
      <diagonal/>
    </border>
    <border>
      <left style="thick">
        <color indexed="64"/>
      </left>
      <right style="double">
        <color indexed="64"/>
      </right>
      <top/>
      <bottom style="thick">
        <color indexed="64"/>
      </bottom>
      <diagonal/>
    </border>
    <border>
      <left style="double">
        <color indexed="64"/>
      </left>
      <right style="thin">
        <color indexed="64"/>
      </right>
      <top/>
      <bottom style="thin">
        <color indexed="64"/>
      </bottom>
      <diagonal/>
    </border>
  </borders>
  <cellStyleXfs count="6">
    <xf numFmtId="0" fontId="0" fillId="0" borderId="0"/>
    <xf numFmtId="9" fontId="1" fillId="0" borderId="0" applyFont="0" applyFill="0" applyBorder="0" applyAlignment="0" applyProtection="0"/>
    <xf numFmtId="44" fontId="1" fillId="0" borderId="0" applyFont="0" applyFill="0" applyBorder="0" applyAlignment="0" applyProtection="0"/>
    <xf numFmtId="0" fontId="18" fillId="0" borderId="0" applyNumberFormat="0" applyFill="0" applyBorder="0" applyAlignment="0" applyProtection="0"/>
    <xf numFmtId="44" fontId="1" fillId="0" borderId="0" applyFont="0" applyFill="0" applyBorder="0" applyAlignment="0" applyProtection="0"/>
    <xf numFmtId="0" fontId="34" fillId="0" borderId="0"/>
  </cellStyleXfs>
  <cellXfs count="656">
    <xf numFmtId="0" fontId="0" fillId="0" borderId="0" xfId="0"/>
    <xf numFmtId="0" fontId="0" fillId="0" borderId="1" xfId="0" applyBorder="1" applyProtection="1"/>
    <xf numFmtId="0" fontId="0" fillId="0" borderId="2" xfId="0" applyBorder="1" applyProtection="1"/>
    <xf numFmtId="0" fontId="0" fillId="2" borderId="1" xfId="0" applyFill="1" applyBorder="1" applyProtection="1"/>
    <xf numFmtId="0" fontId="0" fillId="2" borderId="2" xfId="0" applyFill="1" applyBorder="1" applyProtection="1"/>
    <xf numFmtId="0" fontId="0" fillId="0" borderId="4" xfId="0" applyBorder="1" applyProtection="1"/>
    <xf numFmtId="0" fontId="0" fillId="0" borderId="5" xfId="0" applyBorder="1" applyProtection="1"/>
    <xf numFmtId="0" fontId="0" fillId="2" borderId="10" xfId="0" applyFill="1" applyBorder="1" applyProtection="1"/>
    <xf numFmtId="0" fontId="0" fillId="2" borderId="11" xfId="0" applyFill="1" applyBorder="1" applyProtection="1"/>
    <xf numFmtId="0" fontId="3" fillId="2" borderId="6" xfId="0" applyFont="1" applyFill="1" applyBorder="1" applyProtection="1"/>
    <xf numFmtId="0" fontId="0" fillId="0" borderId="10" xfId="0" applyBorder="1" applyProtection="1"/>
    <xf numFmtId="0" fontId="0" fillId="0" borderId="0" xfId="0" applyProtection="1"/>
    <xf numFmtId="0" fontId="0" fillId="4" borderId="1" xfId="0" applyFill="1" applyBorder="1" applyProtection="1"/>
    <xf numFmtId="0" fontId="0" fillId="4" borderId="2" xfId="0" applyFill="1" applyBorder="1" applyProtection="1"/>
    <xf numFmtId="0" fontId="0" fillId="4" borderId="1" xfId="0" applyNumberFormat="1" applyFill="1" applyBorder="1" applyProtection="1"/>
    <xf numFmtId="0" fontId="0" fillId="4" borderId="1" xfId="0" applyFill="1" applyBorder="1" applyAlignment="1" applyProtection="1">
      <alignment horizontal="right"/>
    </xf>
    <xf numFmtId="0" fontId="0" fillId="4" borderId="2" xfId="0" applyFill="1" applyBorder="1" applyAlignment="1" applyProtection="1">
      <alignment horizontal="right"/>
    </xf>
    <xf numFmtId="0" fontId="0" fillId="0" borderId="1" xfId="0" applyFill="1" applyBorder="1" applyProtection="1"/>
    <xf numFmtId="0" fontId="3" fillId="4" borderId="6" xfId="0" applyFont="1" applyFill="1" applyBorder="1" applyProtection="1"/>
    <xf numFmtId="0" fontId="3" fillId="4" borderId="7" xfId="0" applyFont="1" applyFill="1" applyBorder="1" applyProtection="1"/>
    <xf numFmtId="0" fontId="0" fillId="5" borderId="1" xfId="0" applyFill="1" applyBorder="1" applyProtection="1"/>
    <xf numFmtId="0" fontId="0" fillId="5" borderId="2" xfId="0" applyFill="1" applyBorder="1" applyProtection="1"/>
    <xf numFmtId="0" fontId="3" fillId="5" borderId="6" xfId="0" applyFont="1" applyFill="1" applyBorder="1" applyProtection="1"/>
    <xf numFmtId="0" fontId="3" fillId="5" borderId="7" xfId="0" applyFont="1" applyFill="1" applyBorder="1" applyProtection="1"/>
    <xf numFmtId="0" fontId="0" fillId="6" borderId="1" xfId="0" applyFill="1" applyBorder="1" applyProtection="1"/>
    <xf numFmtId="0" fontId="3" fillId="6" borderId="7" xfId="0" applyFont="1" applyFill="1" applyBorder="1" applyProtection="1"/>
    <xf numFmtId="0" fontId="0" fillId="8" borderId="13" xfId="0" applyFont="1" applyFill="1" applyBorder="1" applyProtection="1"/>
    <xf numFmtId="0" fontId="3" fillId="8" borderId="6" xfId="0" applyFont="1" applyFill="1" applyBorder="1" applyProtection="1"/>
    <xf numFmtId="1" fontId="0" fillId="4" borderId="1" xfId="0" applyNumberFormat="1" applyFill="1" applyBorder="1"/>
    <xf numFmtId="0" fontId="0" fillId="5" borderId="1" xfId="0" applyNumberFormat="1" applyFill="1" applyBorder="1" applyProtection="1"/>
    <xf numFmtId="2" fontId="0" fillId="8" borderId="13" xfId="0" applyNumberFormat="1" applyFont="1" applyFill="1" applyBorder="1" applyProtection="1"/>
    <xf numFmtId="0" fontId="0" fillId="4" borderId="17" xfId="0" applyFill="1" applyBorder="1" applyProtection="1"/>
    <xf numFmtId="0" fontId="0" fillId="0" borderId="17" xfId="0" applyBorder="1" applyProtection="1"/>
    <xf numFmtId="0" fontId="0" fillId="0" borderId="18" xfId="0" applyBorder="1" applyProtection="1"/>
    <xf numFmtId="0" fontId="0" fillId="5" borderId="17" xfId="0" applyFill="1" applyBorder="1" applyProtection="1"/>
    <xf numFmtId="0" fontId="0" fillId="6" borderId="17" xfId="0" applyFill="1" applyBorder="1" applyProtection="1"/>
    <xf numFmtId="0" fontId="0" fillId="0" borderId="16" xfId="0" applyBorder="1" applyProtection="1"/>
    <xf numFmtId="0" fontId="3" fillId="7" borderId="21" xfId="0" applyFont="1" applyFill="1" applyBorder="1" applyProtection="1"/>
    <xf numFmtId="0" fontId="0" fillId="0" borderId="23" xfId="0" applyBorder="1" applyProtection="1"/>
    <xf numFmtId="0" fontId="3" fillId="7" borderId="20" xfId="0" applyFont="1" applyFill="1" applyBorder="1" applyProtection="1"/>
    <xf numFmtId="0" fontId="0" fillId="2" borderId="17" xfId="0" applyFill="1" applyBorder="1" applyProtection="1"/>
    <xf numFmtId="0" fontId="0" fillId="8" borderId="26" xfId="0" applyFont="1" applyFill="1" applyBorder="1" applyProtection="1"/>
    <xf numFmtId="0" fontId="3" fillId="8" borderId="25" xfId="0" applyFont="1" applyFill="1" applyBorder="1" applyProtection="1"/>
    <xf numFmtId="0" fontId="0" fillId="2" borderId="19" xfId="0" applyFill="1" applyBorder="1" applyProtection="1"/>
    <xf numFmtId="0" fontId="3" fillId="2" borderId="25" xfId="0" applyFont="1" applyFill="1" applyBorder="1" applyProtection="1"/>
    <xf numFmtId="0" fontId="0" fillId="0" borderId="19" xfId="0" applyBorder="1" applyProtection="1"/>
    <xf numFmtId="0" fontId="3" fillId="4" borderId="25" xfId="0" applyFont="1" applyFill="1" applyBorder="1" applyProtection="1"/>
    <xf numFmtId="0" fontId="3" fillId="5" borderId="25" xfId="0" applyFont="1" applyFill="1" applyBorder="1" applyProtection="1"/>
    <xf numFmtId="0" fontId="3" fillId="6" borderId="25" xfId="0" applyFont="1" applyFill="1" applyBorder="1" applyProtection="1"/>
    <xf numFmtId="0" fontId="3" fillId="6" borderId="6" xfId="0" applyFont="1" applyFill="1" applyBorder="1" applyProtection="1"/>
    <xf numFmtId="0" fontId="0" fillId="9" borderId="0" xfId="0" applyFill="1" applyBorder="1" applyProtection="1"/>
    <xf numFmtId="0" fontId="0" fillId="9" borderId="0" xfId="0" applyFill="1"/>
    <xf numFmtId="0" fontId="0" fillId="9" borderId="0" xfId="0" applyNumberFormat="1" applyFill="1" applyProtection="1"/>
    <xf numFmtId="0" fontId="0" fillId="9" borderId="0" xfId="0" applyFill="1" applyProtection="1"/>
    <xf numFmtId="0" fontId="6" fillId="9" borderId="0" xfId="0" applyFont="1" applyFill="1" applyBorder="1" applyProtection="1"/>
    <xf numFmtId="0" fontId="6" fillId="9" borderId="0" xfId="0" applyNumberFormat="1" applyFont="1" applyFill="1" applyProtection="1"/>
    <xf numFmtId="0" fontId="0" fillId="9" borderId="0" xfId="0" applyFont="1" applyFill="1" applyBorder="1" applyProtection="1"/>
    <xf numFmtId="0" fontId="12" fillId="9" borderId="0" xfId="0" applyFont="1" applyFill="1" applyBorder="1" applyProtection="1"/>
    <xf numFmtId="0" fontId="0" fillId="9" borderId="0" xfId="0" applyFill="1" applyBorder="1" applyAlignment="1" applyProtection="1"/>
    <xf numFmtId="0" fontId="0" fillId="9" borderId="1" xfId="0" applyFill="1" applyBorder="1"/>
    <xf numFmtId="0" fontId="0" fillId="9" borderId="0" xfId="0" applyNumberFormat="1" applyFill="1"/>
    <xf numFmtId="0" fontId="2" fillId="9" borderId="0" xfId="0" applyNumberFormat="1" applyFont="1" applyFill="1"/>
    <xf numFmtId="165" fontId="0" fillId="9" borderId="0" xfId="2" applyNumberFormat="1" applyFont="1" applyFill="1"/>
    <xf numFmtId="0" fontId="0" fillId="9" borderId="0" xfId="0" applyFill="1" applyBorder="1"/>
    <xf numFmtId="0" fontId="3" fillId="9" borderId="0" xfId="0" applyFont="1" applyFill="1" applyBorder="1" applyProtection="1"/>
    <xf numFmtId="0" fontId="11" fillId="9" borderId="0" xfId="0" applyFont="1" applyFill="1" applyBorder="1" applyProtection="1"/>
    <xf numFmtId="0" fontId="2" fillId="9" borderId="0" xfId="0" applyNumberFormat="1" applyFont="1" applyFill="1" applyProtection="1"/>
    <xf numFmtId="0" fontId="7" fillId="9" borderId="0" xfId="0" applyFont="1" applyFill="1" applyBorder="1" applyProtection="1"/>
    <xf numFmtId="0" fontId="2" fillId="9" borderId="0" xfId="0" quotePrefix="1" applyNumberFormat="1" applyFont="1" applyFill="1" applyProtection="1"/>
    <xf numFmtId="0" fontId="0" fillId="9" borderId="0" xfId="0" applyNumberFormat="1" applyFill="1" applyBorder="1" applyProtection="1"/>
    <xf numFmtId="0" fontId="2" fillId="9" borderId="0" xfId="0" applyNumberFormat="1" applyFont="1" applyFill="1" applyBorder="1" applyProtection="1"/>
    <xf numFmtId="0" fontId="2" fillId="9" borderId="0" xfId="0" quotePrefix="1" applyNumberFormat="1" applyFont="1" applyFill="1"/>
    <xf numFmtId="0" fontId="6" fillId="9" borderId="0" xfId="0" applyFont="1" applyFill="1" applyAlignment="1">
      <alignment horizontal="center"/>
    </xf>
    <xf numFmtId="0" fontId="0" fillId="9" borderId="0" xfId="0" applyNumberFormat="1" applyFill="1" applyBorder="1"/>
    <xf numFmtId="0" fontId="0" fillId="9" borderId="0" xfId="0" applyNumberFormat="1" applyFill="1" applyAlignment="1">
      <alignment horizontal="center"/>
    </xf>
    <xf numFmtId="0" fontId="6" fillId="9" borderId="0" xfId="0" applyFont="1" applyFill="1" applyBorder="1" applyAlignment="1" applyProtection="1">
      <alignment horizontal="center"/>
    </xf>
    <xf numFmtId="0" fontId="8" fillId="9" borderId="0" xfId="0" applyNumberFormat="1" applyFont="1" applyFill="1" applyBorder="1"/>
    <xf numFmtId="0" fontId="6" fillId="9" borderId="0" xfId="0" applyNumberFormat="1" applyFont="1" applyFill="1" applyBorder="1" applyAlignment="1" applyProtection="1">
      <alignment horizontal="center"/>
    </xf>
    <xf numFmtId="0" fontId="2" fillId="9" borderId="0" xfId="0" applyNumberFormat="1" applyFont="1" applyFill="1" applyBorder="1"/>
    <xf numFmtId="0" fontId="2" fillId="9" borderId="0" xfId="0" quotePrefix="1" applyNumberFormat="1" applyFont="1" applyFill="1" applyBorder="1"/>
    <xf numFmtId="0" fontId="4" fillId="9" borderId="0" xfId="0" applyNumberFormat="1" applyFont="1" applyFill="1"/>
    <xf numFmtId="0" fontId="6" fillId="9" borderId="0" xfId="0" applyNumberFormat="1" applyFont="1" applyFill="1"/>
    <xf numFmtId="0" fontId="6" fillId="9" borderId="0" xfId="0" applyNumberFormat="1" applyFont="1" applyFill="1" applyBorder="1" applyProtection="1"/>
    <xf numFmtId="2" fontId="6" fillId="9" borderId="0" xfId="0" applyNumberFormat="1" applyFont="1" applyFill="1" applyProtection="1"/>
    <xf numFmtId="2" fontId="6" fillId="9" borderId="0" xfId="0" applyNumberFormat="1" applyFont="1" applyFill="1"/>
    <xf numFmtId="0" fontId="13" fillId="9" borderId="1" xfId="0" applyFont="1" applyFill="1" applyBorder="1" applyAlignment="1" applyProtection="1">
      <alignment vertical="center"/>
    </xf>
    <xf numFmtId="0" fontId="14" fillId="9" borderId="1" xfId="0" applyFont="1" applyFill="1" applyBorder="1" applyAlignment="1" applyProtection="1">
      <alignment vertical="center"/>
    </xf>
    <xf numFmtId="1" fontId="14" fillId="9" borderId="1" xfId="0" applyNumberFormat="1" applyFont="1" applyFill="1" applyBorder="1" applyAlignment="1" applyProtection="1">
      <alignment vertical="center"/>
    </xf>
    <xf numFmtId="0" fontId="14" fillId="3" borderId="1" xfId="0" applyFont="1" applyFill="1" applyBorder="1" applyAlignment="1">
      <alignment vertical="center"/>
    </xf>
    <xf numFmtId="165" fontId="14" fillId="9" borderId="1" xfId="2" applyNumberFormat="1" applyFont="1" applyFill="1" applyBorder="1" applyAlignment="1">
      <alignment vertical="center"/>
    </xf>
    <xf numFmtId="0" fontId="14" fillId="8" borderId="1" xfId="0" applyFont="1" applyFill="1" applyBorder="1" applyAlignment="1">
      <alignment vertical="center"/>
    </xf>
    <xf numFmtId="0" fontId="14" fillId="2" borderId="1" xfId="0" applyFont="1" applyFill="1" applyBorder="1" applyAlignment="1">
      <alignment vertical="center"/>
    </xf>
    <xf numFmtId="0" fontId="14" fillId="4" borderId="1" xfId="0" applyFont="1" applyFill="1" applyBorder="1" applyAlignment="1">
      <alignment vertical="center"/>
    </xf>
    <xf numFmtId="0" fontId="14" fillId="5" borderId="1" xfId="0" applyFont="1" applyFill="1" applyBorder="1" applyAlignment="1">
      <alignment vertical="center"/>
    </xf>
    <xf numFmtId="0" fontId="14" fillId="6" borderId="1" xfId="0" applyFont="1" applyFill="1" applyBorder="1" applyAlignment="1">
      <alignment vertical="center"/>
    </xf>
    <xf numFmtId="0" fontId="14" fillId="0" borderId="1" xfId="0" applyFont="1" applyFill="1" applyBorder="1" applyAlignment="1">
      <alignment vertical="center"/>
    </xf>
    <xf numFmtId="0" fontId="14" fillId="7" borderId="1" xfId="0" applyFont="1" applyFill="1" applyBorder="1" applyAlignment="1">
      <alignment vertical="center"/>
    </xf>
    <xf numFmtId="0" fontId="14" fillId="10" borderId="1" xfId="0" applyFont="1" applyFill="1" applyBorder="1"/>
    <xf numFmtId="165" fontId="14" fillId="9" borderId="1" xfId="2" applyNumberFormat="1" applyFont="1" applyFill="1" applyBorder="1"/>
    <xf numFmtId="0" fontId="14" fillId="11" borderId="1" xfId="0" applyFont="1" applyFill="1" applyBorder="1"/>
    <xf numFmtId="0" fontId="0" fillId="9" borderId="1" xfId="0" applyFill="1" applyBorder="1" applyAlignment="1">
      <alignment horizontal="right"/>
    </xf>
    <xf numFmtId="1" fontId="0" fillId="9" borderId="1" xfId="0" applyNumberFormat="1" applyFill="1" applyBorder="1"/>
    <xf numFmtId="0" fontId="2" fillId="9" borderId="0" xfId="0" applyFont="1" applyFill="1" applyBorder="1" applyProtection="1"/>
    <xf numFmtId="0" fontId="0" fillId="3" borderId="0" xfId="0" applyFill="1"/>
    <xf numFmtId="0" fontId="0" fillId="9" borderId="29" xfId="0" applyFill="1" applyBorder="1"/>
    <xf numFmtId="0" fontId="0" fillId="9" borderId="33" xfId="0" applyFill="1" applyBorder="1"/>
    <xf numFmtId="0" fontId="8" fillId="3" borderId="39" xfId="0" applyFont="1" applyFill="1" applyBorder="1"/>
    <xf numFmtId="0" fontId="8" fillId="3" borderId="40" xfId="0" applyFont="1" applyFill="1" applyBorder="1"/>
    <xf numFmtId="0" fontId="8" fillId="3" borderId="41" xfId="0" applyFont="1" applyFill="1" applyBorder="1"/>
    <xf numFmtId="0" fontId="8" fillId="3" borderId="0" xfId="0" applyFont="1" applyFill="1" applyBorder="1"/>
    <xf numFmtId="0" fontId="8" fillId="3" borderId="15" xfId="0" applyFont="1" applyFill="1" applyBorder="1"/>
    <xf numFmtId="0" fontId="0" fillId="3" borderId="41" xfId="0" applyFill="1" applyBorder="1"/>
    <xf numFmtId="0" fontId="0" fillId="3" borderId="15" xfId="0" applyFill="1" applyBorder="1"/>
    <xf numFmtId="0" fontId="0" fillId="3" borderId="0" xfId="0" applyFill="1" applyBorder="1" applyAlignment="1"/>
    <xf numFmtId="0" fontId="0" fillId="3" borderId="0" xfId="0" applyFill="1" applyBorder="1"/>
    <xf numFmtId="0" fontId="0" fillId="3" borderId="16" xfId="0" applyFill="1" applyBorder="1"/>
    <xf numFmtId="0" fontId="0" fillId="3" borderId="42" xfId="0" applyFill="1" applyBorder="1"/>
    <xf numFmtId="0" fontId="0" fillId="3" borderId="43" xfId="0" applyFill="1" applyBorder="1"/>
    <xf numFmtId="0" fontId="0" fillId="3" borderId="20" xfId="0" applyFill="1" applyBorder="1"/>
    <xf numFmtId="0" fontId="0" fillId="3" borderId="39" xfId="0" applyFill="1" applyBorder="1"/>
    <xf numFmtId="0" fontId="0" fillId="3" borderId="40" xfId="0" applyFill="1" applyBorder="1"/>
    <xf numFmtId="0" fontId="2" fillId="3" borderId="15" xfId="0" applyFont="1" applyFill="1" applyBorder="1"/>
    <xf numFmtId="164" fontId="0" fillId="9" borderId="0" xfId="0" applyNumberFormat="1" applyFill="1" applyBorder="1"/>
    <xf numFmtId="0" fontId="0" fillId="3" borderId="15" xfId="0" applyFill="1" applyBorder="1" applyProtection="1"/>
    <xf numFmtId="0" fontId="0" fillId="9" borderId="37" xfId="0" applyFill="1" applyBorder="1"/>
    <xf numFmtId="0" fontId="0" fillId="9" borderId="29" xfId="0" applyFill="1" applyBorder="1" applyProtection="1"/>
    <xf numFmtId="0" fontId="0" fillId="9" borderId="30" xfId="0" applyFill="1" applyBorder="1" applyProtection="1"/>
    <xf numFmtId="0" fontId="0" fillId="9" borderId="30" xfId="0" applyFill="1" applyBorder="1"/>
    <xf numFmtId="0" fontId="0" fillId="9" borderId="29" xfId="0" applyFill="1" applyBorder="1" applyAlignment="1" applyProtection="1">
      <alignment horizontal="left"/>
    </xf>
    <xf numFmtId="0" fontId="2" fillId="9" borderId="30" xfId="0" applyFont="1" applyFill="1" applyBorder="1" applyProtection="1"/>
    <xf numFmtId="0" fontId="0" fillId="9" borderId="30" xfId="0" applyNumberFormat="1" applyFill="1" applyBorder="1" applyProtection="1"/>
    <xf numFmtId="0" fontId="0" fillId="9" borderId="34" xfId="0" applyFill="1" applyBorder="1"/>
    <xf numFmtId="0" fontId="0" fillId="9" borderId="35" xfId="0" applyFill="1" applyBorder="1"/>
    <xf numFmtId="0" fontId="0" fillId="9" borderId="36" xfId="0" applyFill="1" applyBorder="1"/>
    <xf numFmtId="0" fontId="0" fillId="9" borderId="38" xfId="0" applyFill="1" applyBorder="1"/>
    <xf numFmtId="0" fontId="18" fillId="3" borderId="0" xfId="3" applyFill="1" applyBorder="1" applyProtection="1">
      <protection locked="0"/>
    </xf>
    <xf numFmtId="167" fontId="0" fillId="9" borderId="0" xfId="0" applyNumberFormat="1" applyFill="1" applyBorder="1" applyProtection="1"/>
    <xf numFmtId="167" fontId="6" fillId="9" borderId="0" xfId="0" applyNumberFormat="1" applyFont="1" applyFill="1" applyAlignment="1">
      <alignment horizontal="left"/>
    </xf>
    <xf numFmtId="167" fontId="6" fillId="9" borderId="0" xfId="0" applyNumberFormat="1" applyFont="1" applyFill="1" applyBorder="1" applyAlignment="1" applyProtection="1">
      <alignment horizontal="left"/>
    </xf>
    <xf numFmtId="167" fontId="9" fillId="9" borderId="0" xfId="0" applyNumberFormat="1" applyFont="1" applyFill="1" applyBorder="1" applyProtection="1"/>
    <xf numFmtId="167" fontId="0" fillId="9" borderId="0" xfId="0" applyNumberFormat="1" applyFill="1" applyBorder="1"/>
    <xf numFmtId="167" fontId="7" fillId="9" borderId="0" xfId="0" applyNumberFormat="1" applyFont="1" applyFill="1" applyBorder="1" applyProtection="1"/>
    <xf numFmtId="3" fontId="0" fillId="0" borderId="1" xfId="0" applyNumberFormat="1" applyBorder="1" applyProtection="1"/>
    <xf numFmtId="3" fontId="0" fillId="0" borderId="4" xfId="0" applyNumberFormat="1" applyBorder="1" applyProtection="1"/>
    <xf numFmtId="3" fontId="3" fillId="8" borderId="8" xfId="0" applyNumberFormat="1" applyFont="1" applyFill="1" applyBorder="1" applyProtection="1"/>
    <xf numFmtId="3" fontId="3" fillId="8" borderId="7" xfId="0" applyNumberFormat="1" applyFont="1" applyFill="1" applyBorder="1" applyProtection="1"/>
    <xf numFmtId="3" fontId="3" fillId="8" borderId="9" xfId="0" applyNumberFormat="1" applyFont="1" applyFill="1" applyBorder="1" applyProtection="1"/>
    <xf numFmtId="3" fontId="3" fillId="2" borderId="7" xfId="0" applyNumberFormat="1" applyFont="1" applyFill="1" applyBorder="1" applyProtection="1"/>
    <xf numFmtId="3" fontId="3" fillId="2" borderId="12" xfId="0" applyNumberFormat="1" applyFont="1" applyFill="1" applyBorder="1" applyProtection="1"/>
    <xf numFmtId="3" fontId="0" fillId="0" borderId="2" xfId="0" applyNumberFormat="1" applyBorder="1" applyProtection="1"/>
    <xf numFmtId="3" fontId="0" fillId="0" borderId="1" xfId="0" applyNumberFormat="1" applyFill="1" applyBorder="1" applyProtection="1"/>
    <xf numFmtId="3" fontId="3" fillId="4" borderId="7" xfId="0" applyNumberFormat="1" applyFont="1" applyFill="1" applyBorder="1" applyProtection="1"/>
    <xf numFmtId="3" fontId="3" fillId="4" borderId="9" xfId="0" applyNumberFormat="1" applyFont="1" applyFill="1" applyBorder="1" applyProtection="1"/>
    <xf numFmtId="3" fontId="3" fillId="5" borderId="7" xfId="0" applyNumberFormat="1" applyFont="1" applyFill="1" applyBorder="1" applyProtection="1"/>
    <xf numFmtId="3" fontId="3" fillId="6" borderId="7" xfId="0" applyNumberFormat="1" applyFont="1" applyFill="1" applyBorder="1" applyProtection="1"/>
    <xf numFmtId="3" fontId="3" fillId="7" borderId="21" xfId="0" applyNumberFormat="1" applyFont="1" applyFill="1" applyBorder="1" applyProtection="1"/>
    <xf numFmtId="3" fontId="3" fillId="7" borderId="22" xfId="0" applyNumberFormat="1" applyFont="1" applyFill="1" applyBorder="1" applyProtection="1"/>
    <xf numFmtId="3" fontId="0" fillId="0" borderId="23" xfId="0" applyNumberFormat="1" applyBorder="1"/>
    <xf numFmtId="3" fontId="0" fillId="0" borderId="24" xfId="0" applyNumberFormat="1" applyBorder="1"/>
    <xf numFmtId="3" fontId="3" fillId="9" borderId="0" xfId="0" applyNumberFormat="1" applyFont="1" applyFill="1" applyBorder="1" applyProtection="1"/>
    <xf numFmtId="3" fontId="0" fillId="0" borderId="10" xfId="0" applyNumberFormat="1" applyBorder="1" applyProtection="1"/>
    <xf numFmtId="0" fontId="0" fillId="4" borderId="49" xfId="0" applyFill="1" applyBorder="1" applyProtection="1"/>
    <xf numFmtId="0" fontId="0" fillId="4" borderId="21" xfId="0" applyFill="1" applyBorder="1" applyProtection="1"/>
    <xf numFmtId="1" fontId="0" fillId="4" borderId="21" xfId="0" applyNumberFormat="1" applyFill="1" applyBorder="1" applyProtection="1"/>
    <xf numFmtId="1" fontId="0" fillId="4" borderId="21" xfId="0" applyNumberFormat="1" applyFill="1" applyBorder="1"/>
    <xf numFmtId="1" fontId="0" fillId="4" borderId="22" xfId="0" applyNumberFormat="1" applyFill="1" applyBorder="1"/>
    <xf numFmtId="0" fontId="0" fillId="0" borderId="50" xfId="0" applyBorder="1" applyProtection="1"/>
    <xf numFmtId="3" fontId="0" fillId="0" borderId="47" xfId="0" applyNumberFormat="1" applyBorder="1" applyProtection="1"/>
    <xf numFmtId="0" fontId="0" fillId="4" borderId="51" xfId="0" applyFill="1" applyBorder="1" applyProtection="1"/>
    <xf numFmtId="0" fontId="0" fillId="4" borderId="52" xfId="0" applyFill="1" applyBorder="1" applyProtection="1"/>
    <xf numFmtId="3" fontId="0" fillId="0" borderId="52" xfId="0" applyNumberFormat="1" applyBorder="1" applyProtection="1"/>
    <xf numFmtId="0" fontId="0" fillId="4" borderId="52" xfId="0" applyNumberFormat="1" applyFill="1" applyBorder="1" applyProtection="1"/>
    <xf numFmtId="0" fontId="0" fillId="0" borderId="53" xfId="0" applyBorder="1" applyProtection="1"/>
    <xf numFmtId="1" fontId="0" fillId="4" borderId="52" xfId="0" applyNumberFormat="1" applyFill="1" applyBorder="1"/>
    <xf numFmtId="0" fontId="0" fillId="4" borderId="52" xfId="0" applyFill="1" applyBorder="1" applyAlignment="1" applyProtection="1">
      <alignment horizontal="right"/>
    </xf>
    <xf numFmtId="0" fontId="0" fillId="0" borderId="53" xfId="0" applyFill="1" applyBorder="1" applyProtection="1"/>
    <xf numFmtId="3" fontId="0" fillId="0" borderId="52" xfId="0" applyNumberFormat="1" applyFill="1" applyBorder="1" applyProtection="1"/>
    <xf numFmtId="3" fontId="0" fillId="0" borderId="54" xfId="0" applyNumberFormat="1" applyBorder="1" applyProtection="1"/>
    <xf numFmtId="0" fontId="0" fillId="5" borderId="49" xfId="0" applyFill="1" applyBorder="1" applyProtection="1"/>
    <xf numFmtId="0" fontId="0" fillId="5" borderId="21" xfId="0" applyFill="1" applyBorder="1" applyProtection="1"/>
    <xf numFmtId="0" fontId="0" fillId="5" borderId="51" xfId="0" applyFill="1" applyBorder="1" applyProtection="1"/>
    <xf numFmtId="0" fontId="3" fillId="9" borderId="41" xfId="0" applyFont="1" applyFill="1" applyBorder="1" applyProtection="1"/>
    <xf numFmtId="0" fontId="0" fillId="6" borderId="55" xfId="0" applyFill="1" applyBorder="1" applyProtection="1"/>
    <xf numFmtId="0" fontId="0" fillId="6" borderId="51" xfId="0" applyFill="1" applyBorder="1" applyProtection="1"/>
    <xf numFmtId="0" fontId="0" fillId="0" borderId="49" xfId="0" applyBorder="1" applyProtection="1"/>
    <xf numFmtId="0" fontId="0" fillId="0" borderId="56" xfId="0" applyBorder="1" applyProtection="1"/>
    <xf numFmtId="0" fontId="0" fillId="0" borderId="21" xfId="0" applyBorder="1" applyProtection="1"/>
    <xf numFmtId="0" fontId="0" fillId="0" borderId="57" xfId="0" applyBorder="1" applyProtection="1"/>
    <xf numFmtId="0" fontId="0" fillId="0" borderId="22" xfId="0" applyBorder="1" applyProtection="1"/>
    <xf numFmtId="0" fontId="0" fillId="2" borderId="51" xfId="0" applyFill="1" applyBorder="1" applyProtection="1"/>
    <xf numFmtId="0" fontId="0" fillId="2" borderId="52" xfId="0" applyFill="1" applyBorder="1" applyProtection="1"/>
    <xf numFmtId="0" fontId="0" fillId="0" borderId="50" xfId="0" applyBorder="1"/>
    <xf numFmtId="0" fontId="0" fillId="8" borderId="53" xfId="0" applyFill="1" applyBorder="1"/>
    <xf numFmtId="2" fontId="0" fillId="8" borderId="58" xfId="0" applyNumberFormat="1" applyFont="1" applyFill="1" applyBorder="1" applyProtection="1"/>
    <xf numFmtId="0" fontId="0" fillId="2" borderId="53" xfId="0" applyFill="1" applyBorder="1" applyProtection="1"/>
    <xf numFmtId="0" fontId="0" fillId="2" borderId="47" xfId="0" applyFill="1" applyBorder="1" applyProtection="1"/>
    <xf numFmtId="0" fontId="0" fillId="0" borderId="52" xfId="0" applyBorder="1" applyProtection="1"/>
    <xf numFmtId="0" fontId="0" fillId="0" borderId="54" xfId="0" applyBorder="1" applyProtection="1"/>
    <xf numFmtId="0" fontId="0" fillId="0" borderId="44" xfId="0" applyBorder="1" applyProtection="1"/>
    <xf numFmtId="0" fontId="3" fillId="0" borderId="45" xfId="0" applyFont="1" applyBorder="1" applyProtection="1"/>
    <xf numFmtId="0" fontId="3" fillId="0" borderId="46" xfId="0" applyFont="1" applyBorder="1" applyProtection="1"/>
    <xf numFmtId="0" fontId="0" fillId="12" borderId="12" xfId="0" applyNumberFormat="1" applyFill="1" applyBorder="1" applyProtection="1"/>
    <xf numFmtId="0" fontId="0" fillId="12" borderId="1" xfId="0" applyNumberFormat="1" applyFill="1" applyBorder="1" applyProtection="1"/>
    <xf numFmtId="0" fontId="0" fillId="12" borderId="1" xfId="0" applyFill="1" applyBorder="1" applyProtection="1"/>
    <xf numFmtId="0" fontId="4" fillId="9" borderId="59" xfId="0" applyNumberFormat="1" applyFont="1" applyFill="1" applyBorder="1" applyProtection="1"/>
    <xf numFmtId="0" fontId="6" fillId="9" borderId="60" xfId="0" applyFont="1" applyFill="1" applyBorder="1"/>
    <xf numFmtId="0" fontId="6" fillId="9" borderId="59" xfId="0" applyFont="1" applyFill="1" applyBorder="1" applyAlignment="1"/>
    <xf numFmtId="0" fontId="6" fillId="9" borderId="59" xfId="0" applyFont="1" applyFill="1" applyBorder="1"/>
    <xf numFmtId="0" fontId="4" fillId="9" borderId="28" xfId="0" applyFont="1" applyFill="1" applyBorder="1"/>
    <xf numFmtId="0" fontId="4" fillId="9" borderId="59" xfId="0" applyFont="1" applyFill="1" applyBorder="1"/>
    <xf numFmtId="0" fontId="6" fillId="9" borderId="59" xfId="0" applyFont="1" applyFill="1" applyBorder="1" applyProtection="1"/>
    <xf numFmtId="0" fontId="6" fillId="9" borderId="59" xfId="0" applyNumberFormat="1" applyFont="1" applyFill="1" applyBorder="1" applyProtection="1"/>
    <xf numFmtId="0" fontId="4" fillId="9" borderId="59" xfId="0" applyNumberFormat="1" applyFont="1" applyFill="1" applyBorder="1" applyAlignment="1" applyProtection="1">
      <alignment horizontal="left"/>
    </xf>
    <xf numFmtId="0" fontId="0" fillId="13" borderId="3" xfId="0" applyFill="1" applyBorder="1" applyProtection="1">
      <protection locked="0"/>
    </xf>
    <xf numFmtId="0" fontId="0" fillId="13" borderId="14" xfId="0" applyFill="1" applyBorder="1" applyAlignment="1" applyProtection="1"/>
    <xf numFmtId="0" fontId="0" fillId="13" borderId="12" xfId="0" applyFill="1" applyBorder="1"/>
    <xf numFmtId="0" fontId="0" fillId="13" borderId="3" xfId="0" applyNumberFormat="1" applyFill="1" applyBorder="1" applyProtection="1">
      <protection locked="0"/>
    </xf>
    <xf numFmtId="164" fontId="4" fillId="9" borderId="28" xfId="0" applyNumberFormat="1" applyFont="1" applyFill="1" applyBorder="1" applyAlignment="1">
      <alignment horizontal="left"/>
    </xf>
    <xf numFmtId="0" fontId="6" fillId="9" borderId="28" xfId="0" applyFont="1" applyFill="1" applyBorder="1"/>
    <xf numFmtId="0" fontId="6" fillId="9" borderId="28" xfId="0" applyNumberFormat="1" applyFont="1" applyFill="1" applyBorder="1" applyAlignment="1" applyProtection="1">
      <alignment horizontal="center"/>
    </xf>
    <xf numFmtId="0" fontId="0" fillId="14" borderId="51" xfId="0" applyFill="1" applyBorder="1" applyProtection="1"/>
    <xf numFmtId="0" fontId="0" fillId="14" borderId="17" xfId="0" applyFill="1" applyBorder="1" applyProtection="1"/>
    <xf numFmtId="0" fontId="0" fillId="14" borderId="1" xfId="0" applyFill="1" applyBorder="1" applyProtection="1"/>
    <xf numFmtId="0" fontId="0" fillId="14" borderId="2" xfId="0" applyFill="1" applyBorder="1" applyProtection="1"/>
    <xf numFmtId="2" fontId="0" fillId="14" borderId="52" xfId="0" applyNumberFormat="1" applyFill="1" applyBorder="1" applyProtection="1"/>
    <xf numFmtId="0" fontId="0" fillId="14" borderId="52" xfId="0" applyFill="1" applyBorder="1" applyProtection="1"/>
    <xf numFmtId="0" fontId="3" fillId="14" borderId="6" xfId="0" applyFont="1" applyFill="1" applyBorder="1" applyProtection="1"/>
    <xf numFmtId="0" fontId="3" fillId="14" borderId="25" xfId="0" applyFont="1" applyFill="1" applyBorder="1" applyProtection="1"/>
    <xf numFmtId="0" fontId="3" fillId="14" borderId="7" xfId="0" applyFont="1" applyFill="1" applyBorder="1" applyProtection="1"/>
    <xf numFmtId="3" fontId="3" fillId="14" borderId="7" xfId="0" applyNumberFormat="1" applyFont="1" applyFill="1" applyBorder="1" applyProtection="1"/>
    <xf numFmtId="3" fontId="3" fillId="14" borderId="8" xfId="0" applyNumberFormat="1" applyFont="1" applyFill="1" applyBorder="1" applyProtection="1"/>
    <xf numFmtId="3" fontId="3" fillId="14" borderId="9" xfId="0" applyNumberFormat="1" applyFont="1" applyFill="1" applyBorder="1" applyProtection="1"/>
    <xf numFmtId="0" fontId="0" fillId="3" borderId="0" xfId="0" applyFill="1" applyProtection="1"/>
    <xf numFmtId="0" fontId="18" fillId="3" borderId="0" xfId="3" applyFill="1" applyProtection="1">
      <protection locked="0"/>
    </xf>
    <xf numFmtId="0" fontId="0" fillId="3" borderId="0" xfId="0" applyFill="1" applyBorder="1" applyAlignment="1">
      <alignment horizontal="right"/>
    </xf>
    <xf numFmtId="0" fontId="0" fillId="9" borderId="36" xfId="0" applyFill="1" applyBorder="1" applyAlignment="1" applyProtection="1">
      <alignment horizontal="left"/>
    </xf>
    <xf numFmtId="0" fontId="0" fillId="9" borderId="37" xfId="0" applyFill="1" applyBorder="1" applyProtection="1"/>
    <xf numFmtId="0" fontId="0" fillId="9" borderId="37" xfId="0" applyNumberFormat="1" applyFill="1" applyBorder="1" applyProtection="1"/>
    <xf numFmtId="0" fontId="0" fillId="9" borderId="38" xfId="0" applyNumberFormat="1" applyFill="1" applyBorder="1" applyProtection="1"/>
    <xf numFmtId="0" fontId="0" fillId="12" borderId="48" xfId="0" applyFill="1" applyBorder="1"/>
    <xf numFmtId="0" fontId="0" fillId="12" borderId="48" xfId="0" applyFill="1" applyBorder="1" applyProtection="1"/>
    <xf numFmtId="0" fontId="0" fillId="9" borderId="29" xfId="0" applyNumberFormat="1" applyFill="1" applyBorder="1" applyProtection="1"/>
    <xf numFmtId="0" fontId="0" fillId="0" borderId="31" xfId="0" applyBorder="1"/>
    <xf numFmtId="0" fontId="4" fillId="9" borderId="31" xfId="0" applyNumberFormat="1" applyFont="1" applyFill="1" applyBorder="1" applyProtection="1"/>
    <xf numFmtId="0" fontId="4" fillId="9" borderId="29" xfId="0" applyNumberFormat="1" applyFont="1" applyFill="1" applyBorder="1" applyProtection="1"/>
    <xf numFmtId="0" fontId="4" fillId="9" borderId="0" xfId="0" applyNumberFormat="1" applyFont="1" applyFill="1" applyBorder="1" applyProtection="1"/>
    <xf numFmtId="0" fontId="6" fillId="9" borderId="0" xfId="0" applyFont="1" applyFill="1" applyBorder="1"/>
    <xf numFmtId="0" fontId="0" fillId="9" borderId="31" xfId="0" applyNumberFormat="1" applyFill="1" applyBorder="1" applyProtection="1"/>
    <xf numFmtId="2" fontId="4" fillId="9" borderId="31" xfId="0" applyNumberFormat="1" applyFont="1" applyFill="1" applyBorder="1" applyProtection="1"/>
    <xf numFmtId="2" fontId="4" fillId="9" borderId="29" xfId="0" applyNumberFormat="1" applyFont="1" applyFill="1" applyBorder="1" applyProtection="1"/>
    <xf numFmtId="2" fontId="4" fillId="9" borderId="29" xfId="0" applyNumberFormat="1" applyFont="1" applyFill="1" applyBorder="1"/>
    <xf numFmtId="164" fontId="4" fillId="9" borderId="0" xfId="0" applyNumberFormat="1" applyFont="1" applyFill="1" applyBorder="1" applyAlignment="1">
      <alignment horizontal="left"/>
    </xf>
    <xf numFmtId="0" fontId="0" fillId="9" borderId="0" xfId="0" quotePrefix="1" applyNumberFormat="1" applyFill="1" applyBorder="1" applyProtection="1"/>
    <xf numFmtId="0" fontId="0" fillId="9" borderId="34" xfId="0" applyFill="1" applyBorder="1" applyProtection="1"/>
    <xf numFmtId="0" fontId="0" fillId="9" borderId="35" xfId="0" applyFill="1" applyBorder="1" applyProtection="1"/>
    <xf numFmtId="0" fontId="0" fillId="12" borderId="12" xfId="0" applyFill="1" applyBorder="1" applyProtection="1"/>
    <xf numFmtId="0" fontId="0" fillId="3" borderId="30" xfId="0" applyFill="1" applyBorder="1" applyProtection="1"/>
    <xf numFmtId="0" fontId="0" fillId="3" borderId="30" xfId="0" applyFill="1" applyBorder="1"/>
    <xf numFmtId="0" fontId="6" fillId="9" borderId="0" xfId="0" applyFont="1" applyFill="1" applyAlignment="1">
      <alignment horizontal="right"/>
    </xf>
    <xf numFmtId="0" fontId="20" fillId="9" borderId="0" xfId="0" applyNumberFormat="1" applyFont="1" applyFill="1" applyBorder="1" applyAlignment="1" applyProtection="1">
      <alignment horizontal="center"/>
    </xf>
    <xf numFmtId="0" fontId="6" fillId="9" borderId="0" xfId="0" applyNumberFormat="1" applyFont="1" applyFill="1" applyAlignment="1">
      <alignment horizontal="center"/>
    </xf>
    <xf numFmtId="0" fontId="0" fillId="9" borderId="1" xfId="0" applyNumberFormat="1" applyFill="1" applyBorder="1"/>
    <xf numFmtId="166" fontId="0" fillId="13" borderId="3" xfId="1" applyNumberFormat="1" applyFont="1" applyFill="1" applyBorder="1" applyProtection="1">
      <protection locked="0"/>
    </xf>
    <xf numFmtId="166" fontId="0" fillId="13" borderId="3" xfId="0" applyNumberFormat="1" applyFill="1" applyBorder="1" applyProtection="1">
      <protection locked="0"/>
    </xf>
    <xf numFmtId="0" fontId="0" fillId="9" borderId="53" xfId="0" applyFill="1" applyBorder="1" applyProtection="1"/>
    <xf numFmtId="0" fontId="0" fillId="5" borderId="53" xfId="0" applyFill="1" applyBorder="1" applyProtection="1"/>
    <xf numFmtId="0" fontId="0" fillId="5" borderId="18" xfId="0" applyFill="1" applyBorder="1" applyProtection="1"/>
    <xf numFmtId="0" fontId="0" fillId="5" borderId="4" xfId="0" applyFill="1" applyBorder="1" applyProtection="1"/>
    <xf numFmtId="3" fontId="0" fillId="5" borderId="4" xfId="0" applyNumberFormat="1" applyFill="1" applyBorder="1" applyProtection="1"/>
    <xf numFmtId="0" fontId="0" fillId="0" borderId="61" xfId="0" applyBorder="1" applyProtection="1"/>
    <xf numFmtId="0" fontId="0" fillId="0" borderId="62" xfId="0" applyBorder="1" applyProtection="1"/>
    <xf numFmtId="3" fontId="0" fillId="0" borderId="23" xfId="0" applyNumberFormat="1" applyBorder="1" applyProtection="1"/>
    <xf numFmtId="0" fontId="0" fillId="9" borderId="31" xfId="0" applyFill="1" applyBorder="1" applyProtection="1"/>
    <xf numFmtId="0" fontId="0" fillId="13" borderId="3" xfId="0" applyNumberFormat="1" applyFill="1" applyBorder="1" applyProtection="1"/>
    <xf numFmtId="0" fontId="3" fillId="10" borderId="6" xfId="0" applyFont="1" applyFill="1" applyBorder="1" applyProtection="1"/>
    <xf numFmtId="0" fontId="3" fillId="10" borderId="7" xfId="0" applyFont="1" applyFill="1" applyBorder="1" applyProtection="1"/>
    <xf numFmtId="3" fontId="3" fillId="10" borderId="7" xfId="0" applyNumberFormat="1" applyFont="1" applyFill="1" applyBorder="1" applyProtection="1"/>
    <xf numFmtId="3" fontId="3" fillId="10" borderId="9" xfId="0" applyNumberFormat="1" applyFont="1" applyFill="1" applyBorder="1" applyProtection="1"/>
    <xf numFmtId="0" fontId="0" fillId="15" borderId="44" xfId="0" applyFont="1" applyFill="1" applyBorder="1" applyProtection="1"/>
    <xf numFmtId="0" fontId="0" fillId="15" borderId="21" xfId="0" applyFont="1" applyFill="1" applyBorder="1" applyProtection="1"/>
    <xf numFmtId="0" fontId="0" fillId="9" borderId="1" xfId="0" applyFont="1" applyFill="1" applyBorder="1" applyProtection="1"/>
    <xf numFmtId="3" fontId="0" fillId="9" borderId="1" xfId="0" applyNumberFormat="1" applyFont="1" applyFill="1" applyBorder="1" applyProtection="1"/>
    <xf numFmtId="3" fontId="0" fillId="9" borderId="52" xfId="0" applyNumberFormat="1" applyFont="1" applyFill="1" applyBorder="1" applyProtection="1"/>
    <xf numFmtId="0" fontId="0" fillId="15" borderId="51" xfId="0" applyFont="1" applyFill="1" applyBorder="1" applyProtection="1"/>
    <xf numFmtId="0" fontId="0" fillId="15" borderId="1" xfId="0" applyFont="1" applyFill="1" applyBorder="1" applyProtection="1"/>
    <xf numFmtId="0" fontId="0" fillId="9" borderId="4" xfId="0" applyFont="1" applyFill="1" applyBorder="1" applyProtection="1"/>
    <xf numFmtId="3" fontId="0" fillId="9" borderId="4" xfId="0" applyNumberFormat="1" applyFont="1" applyFill="1" applyBorder="1" applyProtection="1"/>
    <xf numFmtId="3" fontId="0" fillId="9" borderId="54" xfId="0" applyNumberFormat="1" applyFont="1" applyFill="1" applyBorder="1" applyProtection="1"/>
    <xf numFmtId="0" fontId="0" fillId="10" borderId="44" xfId="0" applyFont="1" applyFill="1" applyBorder="1" applyProtection="1"/>
    <xf numFmtId="0" fontId="0" fillId="10" borderId="21" xfId="0" applyFont="1" applyFill="1" applyBorder="1" applyProtection="1"/>
    <xf numFmtId="3" fontId="0" fillId="10" borderId="21" xfId="0" applyNumberFormat="1" applyFont="1" applyFill="1" applyBorder="1" applyProtection="1"/>
    <xf numFmtId="3" fontId="0" fillId="10" borderId="22" xfId="0" applyNumberFormat="1" applyFont="1" applyFill="1" applyBorder="1" applyProtection="1"/>
    <xf numFmtId="0" fontId="0" fillId="10" borderId="51" xfId="0" applyFont="1" applyFill="1" applyBorder="1" applyProtection="1"/>
    <xf numFmtId="0" fontId="0" fillId="10" borderId="1" xfId="0" applyFont="1" applyFill="1" applyBorder="1" applyProtection="1"/>
    <xf numFmtId="3" fontId="0" fillId="10" borderId="1" xfId="0" applyNumberFormat="1" applyFont="1" applyFill="1" applyBorder="1" applyProtection="1"/>
    <xf numFmtId="3" fontId="0" fillId="10" borderId="52" xfId="0" applyNumberFormat="1" applyFont="1" applyFill="1" applyBorder="1" applyProtection="1"/>
    <xf numFmtId="0" fontId="14" fillId="10" borderId="1" xfId="0" applyFont="1" applyFill="1" applyBorder="1" applyAlignment="1">
      <alignment vertical="center"/>
    </xf>
    <xf numFmtId="0" fontId="14" fillId="15" borderId="1" xfId="0" applyFont="1" applyFill="1" applyBorder="1" applyAlignment="1">
      <alignment vertical="center"/>
    </xf>
    <xf numFmtId="0" fontId="0" fillId="9" borderId="50" xfId="0" applyFont="1" applyFill="1" applyBorder="1" applyProtection="1"/>
    <xf numFmtId="0" fontId="0" fillId="9" borderId="53" xfId="0" applyFont="1" applyFill="1" applyBorder="1" applyProtection="1"/>
    <xf numFmtId="0" fontId="4" fillId="9" borderId="28" xfId="0" applyFont="1" applyFill="1" applyBorder="1" applyProtection="1"/>
    <xf numFmtId="0" fontId="4" fillId="9" borderId="0" xfId="0" applyFont="1" applyFill="1" applyBorder="1" applyProtection="1"/>
    <xf numFmtId="167" fontId="0" fillId="13" borderId="3" xfId="0" applyNumberFormat="1" applyFill="1" applyBorder="1" applyProtection="1"/>
    <xf numFmtId="3" fontId="0" fillId="15" borderId="21" xfId="0" quotePrefix="1" applyNumberFormat="1" applyFont="1" applyFill="1" applyBorder="1" applyAlignment="1" applyProtection="1">
      <alignment horizontal="right"/>
    </xf>
    <xf numFmtId="167" fontId="0" fillId="9" borderId="0" xfId="0" applyNumberFormat="1" applyFill="1" applyBorder="1" applyAlignment="1" applyProtection="1">
      <alignment vertical="center"/>
    </xf>
    <xf numFmtId="164" fontId="0" fillId="13" borderId="3" xfId="0" applyNumberFormat="1" applyFill="1" applyBorder="1"/>
    <xf numFmtId="0" fontId="0" fillId="15" borderId="1" xfId="0" applyNumberFormat="1" applyFont="1" applyFill="1" applyBorder="1" applyAlignment="1" applyProtection="1">
      <alignment horizontal="right"/>
    </xf>
    <xf numFmtId="0" fontId="3" fillId="15" borderId="61" xfId="0" applyFont="1" applyFill="1" applyBorder="1" applyProtection="1"/>
    <xf numFmtId="0" fontId="0" fillId="15" borderId="56" xfId="0" applyFont="1" applyFill="1" applyBorder="1" applyProtection="1"/>
    <xf numFmtId="0" fontId="0" fillId="9" borderId="17" xfId="0" applyFont="1" applyFill="1" applyBorder="1" applyProtection="1"/>
    <xf numFmtId="0" fontId="0" fillId="15" borderId="17" xfId="0" applyFont="1" applyFill="1" applyBorder="1" applyProtection="1"/>
    <xf numFmtId="0" fontId="3" fillId="15" borderId="67" xfId="0" applyFont="1" applyFill="1" applyBorder="1" applyProtection="1"/>
    <xf numFmtId="3" fontId="3" fillId="15" borderId="67" xfId="0" applyNumberFormat="1" applyFont="1" applyFill="1" applyBorder="1" applyProtection="1"/>
    <xf numFmtId="0" fontId="0" fillId="9" borderId="61" xfId="0" applyFont="1" applyFill="1" applyBorder="1" applyProtection="1"/>
    <xf numFmtId="0" fontId="0" fillId="9" borderId="62" xfId="0" applyFont="1" applyFill="1" applyBorder="1" applyProtection="1"/>
    <xf numFmtId="3" fontId="0" fillId="9" borderId="23" xfId="0" applyNumberFormat="1" applyFont="1" applyFill="1" applyBorder="1" applyProtection="1"/>
    <xf numFmtId="0" fontId="6" fillId="9" borderId="41" xfId="0" applyNumberFormat="1" applyFont="1" applyFill="1" applyBorder="1" applyProtection="1"/>
    <xf numFmtId="0" fontId="6" fillId="9" borderId="66" xfId="0" applyNumberFormat="1" applyFont="1" applyFill="1" applyBorder="1" applyProtection="1"/>
    <xf numFmtId="0" fontId="6" fillId="9" borderId="28" xfId="0" applyNumberFormat="1" applyFont="1" applyFill="1" applyBorder="1" applyProtection="1"/>
    <xf numFmtId="0" fontId="0" fillId="9" borderId="0" xfId="0" applyFill="1" applyBorder="1" applyAlignment="1" applyProtection="1">
      <alignment horizontal="left"/>
    </xf>
    <xf numFmtId="0" fontId="0" fillId="3" borderId="68" xfId="0" applyFill="1" applyBorder="1"/>
    <xf numFmtId="0" fontId="0" fillId="9" borderId="26" xfId="0" applyFill="1" applyBorder="1" applyProtection="1"/>
    <xf numFmtId="2" fontId="4" fillId="9" borderId="0" xfId="0" applyNumberFormat="1" applyFont="1" applyFill="1" applyBorder="1"/>
    <xf numFmtId="2" fontId="4" fillId="9" borderId="28" xfId="0" applyNumberFormat="1" applyFont="1" applyFill="1" applyBorder="1"/>
    <xf numFmtId="0" fontId="6" fillId="9" borderId="15" xfId="0" applyFont="1" applyFill="1" applyBorder="1"/>
    <xf numFmtId="0" fontId="3" fillId="9" borderId="21" xfId="0" applyFont="1" applyFill="1" applyBorder="1" applyProtection="1"/>
    <xf numFmtId="0" fontId="3" fillId="9" borderId="23" xfId="0" applyFont="1" applyFill="1" applyBorder="1" applyProtection="1"/>
    <xf numFmtId="3" fontId="0" fillId="12" borderId="23" xfId="0" applyNumberFormat="1" applyFont="1" applyFill="1" applyBorder="1" applyProtection="1"/>
    <xf numFmtId="3" fontId="0" fillId="12" borderId="24" xfId="0" applyNumberFormat="1" applyFont="1" applyFill="1" applyBorder="1" applyProtection="1"/>
    <xf numFmtId="0" fontId="0" fillId="3" borderId="0" xfId="0" applyNumberFormat="1" applyFill="1" applyProtection="1"/>
    <xf numFmtId="0" fontId="0" fillId="3" borderId="0" xfId="0" applyNumberFormat="1" applyFill="1"/>
    <xf numFmtId="0" fontId="0" fillId="3" borderId="0" xfId="0" applyNumberFormat="1" applyFill="1" applyBorder="1"/>
    <xf numFmtId="0" fontId="2" fillId="3" borderId="0" xfId="0" applyNumberFormat="1" applyFont="1" applyFill="1"/>
    <xf numFmtId="2" fontId="0" fillId="3" borderId="0" xfId="0" applyNumberFormat="1" applyFill="1" applyProtection="1"/>
    <xf numFmtId="0" fontId="0" fillId="3" borderId="0" xfId="0" applyNumberFormat="1" applyFill="1" applyBorder="1" applyProtection="1"/>
    <xf numFmtId="0" fontId="0" fillId="9" borderId="19" xfId="0" applyFill="1" applyBorder="1" applyProtection="1"/>
    <xf numFmtId="0" fontId="0" fillId="9" borderId="18" xfId="0" applyFill="1" applyBorder="1" applyProtection="1"/>
    <xf numFmtId="0" fontId="0" fillId="9" borderId="18" xfId="0" applyFill="1" applyBorder="1" applyAlignment="1" applyProtection="1"/>
    <xf numFmtId="0" fontId="0" fillId="9" borderId="19" xfId="0" applyFill="1" applyBorder="1" applyAlignment="1" applyProtection="1"/>
    <xf numFmtId="0" fontId="0" fillId="3" borderId="1" xfId="0" applyFill="1" applyBorder="1"/>
    <xf numFmtId="0" fontId="0" fillId="10" borderId="1" xfId="0" applyFill="1" applyBorder="1"/>
    <xf numFmtId="0" fontId="0" fillId="11" borderId="1" xfId="0" applyFill="1" applyBorder="1"/>
    <xf numFmtId="0" fontId="0" fillId="16" borderId="1" xfId="0" applyFill="1" applyBorder="1"/>
    <xf numFmtId="0" fontId="0" fillId="8" borderId="1" xfId="0" applyFill="1" applyBorder="1"/>
    <xf numFmtId="0" fontId="14" fillId="16" borderId="1" xfId="0" applyFont="1" applyFill="1" applyBorder="1"/>
    <xf numFmtId="0" fontId="0" fillId="12" borderId="0" xfId="0" applyFill="1"/>
    <xf numFmtId="0" fontId="3" fillId="12" borderId="0" xfId="0" applyFont="1" applyFill="1"/>
    <xf numFmtId="0" fontId="0" fillId="12" borderId="0" xfId="0" applyFill="1" applyBorder="1"/>
    <xf numFmtId="1" fontId="13" fillId="12" borderId="0" xfId="0" applyNumberFormat="1" applyFont="1" applyFill="1" applyBorder="1" applyProtection="1"/>
    <xf numFmtId="1" fontId="3" fillId="12" borderId="0" xfId="0" applyNumberFormat="1" applyFont="1" applyFill="1" applyBorder="1" applyProtection="1"/>
    <xf numFmtId="0" fontId="14" fillId="12" borderId="0" xfId="0" applyFont="1" applyFill="1" applyBorder="1"/>
    <xf numFmtId="0" fontId="13" fillId="12" borderId="0" xfId="0" applyFont="1" applyFill="1" applyBorder="1" applyProtection="1"/>
    <xf numFmtId="0" fontId="3" fillId="12" borderId="0" xfId="0" applyFont="1" applyFill="1" applyBorder="1" applyProtection="1"/>
    <xf numFmtId="0" fontId="14" fillId="12" borderId="0" xfId="0" applyFont="1" applyFill="1"/>
    <xf numFmtId="165" fontId="0" fillId="12" borderId="0" xfId="2" applyNumberFormat="1" applyFont="1" applyFill="1"/>
    <xf numFmtId="0" fontId="13" fillId="12" borderId="0" xfId="0" applyFont="1" applyFill="1"/>
    <xf numFmtId="0" fontId="13" fillId="12" borderId="0" xfId="0" applyFont="1" applyFill="1" applyBorder="1"/>
    <xf numFmtId="0" fontId="0" fillId="12" borderId="0" xfId="0" applyNumberFormat="1" applyFill="1" applyProtection="1"/>
    <xf numFmtId="165" fontId="0" fillId="12" borderId="0" xfId="2" applyNumberFormat="1" applyFont="1" applyFill="1" applyProtection="1"/>
    <xf numFmtId="0" fontId="14" fillId="12" borderId="1" xfId="0" applyFont="1" applyFill="1" applyBorder="1" applyAlignment="1">
      <alignment vertical="center"/>
    </xf>
    <xf numFmtId="166" fontId="14" fillId="12" borderId="1" xfId="1" applyNumberFormat="1" applyFont="1" applyFill="1" applyBorder="1" applyAlignment="1">
      <alignment vertical="center"/>
    </xf>
    <xf numFmtId="0" fontId="0" fillId="12" borderId="1" xfId="0" applyFill="1" applyBorder="1"/>
    <xf numFmtId="0" fontId="14" fillId="12" borderId="0" xfId="0" applyFont="1" applyFill="1" applyBorder="1" applyAlignment="1">
      <alignment vertical="center"/>
    </xf>
    <xf numFmtId="0" fontId="0" fillId="12" borderId="77" xfId="0" applyFill="1" applyBorder="1"/>
    <xf numFmtId="1" fontId="3" fillId="12" borderId="77" xfId="0" applyNumberFormat="1" applyFont="1" applyFill="1" applyBorder="1" applyProtection="1"/>
    <xf numFmtId="0" fontId="3" fillId="12" borderId="77" xfId="0" applyFont="1" applyFill="1" applyBorder="1" applyProtection="1"/>
    <xf numFmtId="0" fontId="0" fillId="12" borderId="79" xfId="0" applyFill="1" applyBorder="1"/>
    <xf numFmtId="0" fontId="0" fillId="12" borderId="78" xfId="0" applyFill="1" applyBorder="1"/>
    <xf numFmtId="0" fontId="0" fillId="12" borderId="80" xfId="0" applyFill="1" applyBorder="1"/>
    <xf numFmtId="0" fontId="0" fillId="12" borderId="70" xfId="0" applyFill="1" applyBorder="1"/>
    <xf numFmtId="0" fontId="0" fillId="12" borderId="81" xfId="0" applyFill="1" applyBorder="1"/>
    <xf numFmtId="0" fontId="0" fillId="12" borderId="82" xfId="0" applyFill="1" applyBorder="1"/>
    <xf numFmtId="0" fontId="0" fillId="12" borderId="83" xfId="0" applyFill="1" applyBorder="1"/>
    <xf numFmtId="0" fontId="0" fillId="12" borderId="85" xfId="0" applyFill="1" applyBorder="1"/>
    <xf numFmtId="0" fontId="14" fillId="12" borderId="79" xfId="0" applyFont="1" applyFill="1" applyBorder="1"/>
    <xf numFmtId="0" fontId="0" fillId="13" borderId="65" xfId="0" applyNumberFormat="1" applyFill="1" applyBorder="1" applyProtection="1">
      <protection locked="0"/>
    </xf>
    <xf numFmtId="3" fontId="3" fillId="13" borderId="21" xfId="0" applyNumberFormat="1" applyFont="1" applyFill="1" applyBorder="1" applyProtection="1">
      <protection locked="0"/>
    </xf>
    <xf numFmtId="3" fontId="3" fillId="13" borderId="22" xfId="0" applyNumberFormat="1" applyFont="1" applyFill="1" applyBorder="1" applyProtection="1">
      <protection locked="0"/>
    </xf>
    <xf numFmtId="0" fontId="8" fillId="3" borderId="20" xfId="0" applyFont="1" applyFill="1" applyBorder="1" applyProtection="1"/>
    <xf numFmtId="0" fontId="0" fillId="3" borderId="0" xfId="0" applyFill="1" applyBorder="1" applyProtection="1">
      <protection locked="0"/>
    </xf>
    <xf numFmtId="0" fontId="22" fillId="9" borderId="29" xfId="0" applyFont="1" applyFill="1" applyBorder="1" applyAlignment="1">
      <alignment horizontal="left" vertical="top" wrapText="1"/>
    </xf>
    <xf numFmtId="0" fontId="22" fillId="9" borderId="0" xfId="0" applyFont="1" applyFill="1" applyBorder="1" applyAlignment="1">
      <alignment horizontal="left" vertical="top" wrapText="1"/>
    </xf>
    <xf numFmtId="0" fontId="22" fillId="9" borderId="30" xfId="0" applyFont="1" applyFill="1" applyBorder="1" applyAlignment="1">
      <alignment horizontal="left" vertical="top" wrapText="1"/>
    </xf>
    <xf numFmtId="0" fontId="21" fillId="9" borderId="29" xfId="0" applyFont="1" applyFill="1" applyBorder="1" applyAlignment="1">
      <alignment horizontal="left" vertical="top" wrapText="1"/>
    </xf>
    <xf numFmtId="0" fontId="21" fillId="9" borderId="0" xfId="0" applyFont="1" applyFill="1" applyBorder="1" applyAlignment="1">
      <alignment horizontal="left" vertical="top" wrapText="1"/>
    </xf>
    <xf numFmtId="0" fontId="21" fillId="9" borderId="30" xfId="0" applyFont="1" applyFill="1" applyBorder="1" applyAlignment="1">
      <alignment horizontal="left" vertical="top" wrapText="1"/>
    </xf>
    <xf numFmtId="0" fontId="22" fillId="9" borderId="29" xfId="0" applyFont="1" applyFill="1" applyBorder="1" applyAlignment="1">
      <alignment wrapText="1"/>
    </xf>
    <xf numFmtId="0" fontId="22" fillId="3" borderId="0" xfId="0" applyFont="1" applyFill="1" applyBorder="1" applyAlignment="1">
      <alignment wrapText="1"/>
    </xf>
    <xf numFmtId="0" fontId="22" fillId="3" borderId="0" xfId="0" applyFont="1" applyFill="1" applyBorder="1" applyAlignment="1">
      <alignment vertical="top" wrapText="1"/>
    </xf>
    <xf numFmtId="0" fontId="6" fillId="9" borderId="0" xfId="0" applyFont="1" applyFill="1" applyBorder="1" applyAlignment="1" applyProtection="1">
      <alignment horizontal="left"/>
    </xf>
    <xf numFmtId="2" fontId="0" fillId="9" borderId="1" xfId="0" applyNumberFormat="1" applyFill="1" applyBorder="1" applyAlignment="1">
      <alignment horizontal="left"/>
    </xf>
    <xf numFmtId="165" fontId="14" fillId="12" borderId="0" xfId="2" applyNumberFormat="1" applyFont="1" applyFill="1" applyBorder="1"/>
    <xf numFmtId="0" fontId="22" fillId="9" borderId="29" xfId="0" applyFont="1" applyFill="1" applyBorder="1" applyAlignment="1">
      <alignment horizontal="justify" vertical="justify" wrapText="1"/>
    </xf>
    <xf numFmtId="0" fontId="22" fillId="9" borderId="0" xfId="0" applyFont="1" applyFill="1" applyBorder="1" applyAlignment="1">
      <alignment horizontal="justify" vertical="justify" wrapText="1"/>
    </xf>
    <xf numFmtId="0" fontId="22" fillId="9" borderId="30" xfId="0" applyFont="1" applyFill="1" applyBorder="1" applyAlignment="1">
      <alignment horizontal="justify" vertical="justify" wrapText="1"/>
    </xf>
    <xf numFmtId="0" fontId="0" fillId="9" borderId="29" xfId="0" applyFill="1" applyBorder="1" applyAlignment="1">
      <alignment horizontal="justify" vertical="justify"/>
    </xf>
    <xf numFmtId="0" fontId="0" fillId="9" borderId="0" xfId="0" applyFill="1" applyBorder="1" applyAlignment="1">
      <alignment horizontal="justify" vertical="justify"/>
    </xf>
    <xf numFmtId="0" fontId="0" fillId="9" borderId="30" xfId="0" applyFill="1" applyBorder="1" applyAlignment="1">
      <alignment horizontal="justify" vertical="justify"/>
    </xf>
    <xf numFmtId="0" fontId="27" fillId="9" borderId="0" xfId="0" applyFont="1" applyFill="1" applyBorder="1" applyAlignment="1">
      <alignment horizontal="justify" vertical="justify" wrapText="1"/>
    </xf>
    <xf numFmtId="0" fontId="27" fillId="9" borderId="30" xfId="0" applyFont="1" applyFill="1" applyBorder="1" applyAlignment="1">
      <alignment horizontal="justify" vertical="justify" wrapText="1"/>
    </xf>
    <xf numFmtId="167" fontId="20" fillId="9" borderId="0" xfId="0" applyNumberFormat="1" applyFont="1" applyFill="1" applyBorder="1" applyAlignment="1">
      <alignment horizontal="left"/>
    </xf>
    <xf numFmtId="0" fontId="0" fillId="12" borderId="4" xfId="0" applyNumberFormat="1" applyFill="1" applyBorder="1" applyProtection="1"/>
    <xf numFmtId="0" fontId="0" fillId="12" borderId="17" xfId="0" applyFill="1" applyBorder="1"/>
    <xf numFmtId="167" fontId="0" fillId="9" borderId="0" xfId="0" applyNumberFormat="1" applyFill="1"/>
    <xf numFmtId="3" fontId="0" fillId="12" borderId="1" xfId="0" applyNumberFormat="1" applyFill="1" applyBorder="1" applyProtection="1"/>
    <xf numFmtId="0" fontId="4" fillId="9" borderId="0" xfId="0" applyNumberFormat="1" applyFont="1" applyFill="1" applyBorder="1" applyAlignment="1" applyProtection="1">
      <alignment horizontal="left"/>
    </xf>
    <xf numFmtId="0" fontId="30" fillId="9" borderId="0" xfId="0" applyFont="1" applyFill="1" applyBorder="1" applyAlignment="1" applyProtection="1">
      <alignment horizontal="left"/>
    </xf>
    <xf numFmtId="0" fontId="0" fillId="2" borderId="69" xfId="0" applyFill="1" applyBorder="1" applyProtection="1"/>
    <xf numFmtId="0" fontId="0" fillId="2" borderId="62" xfId="0" applyFill="1" applyBorder="1" applyProtection="1"/>
    <xf numFmtId="3" fontId="0" fillId="2" borderId="23" xfId="0" applyNumberFormat="1" applyFill="1" applyBorder="1" applyProtection="1"/>
    <xf numFmtId="3" fontId="0" fillId="2" borderId="87" xfId="0" applyNumberFormat="1" applyFill="1" applyBorder="1" applyProtection="1"/>
    <xf numFmtId="3" fontId="0" fillId="2" borderId="24" xfId="0" applyNumberFormat="1" applyFill="1" applyBorder="1" applyProtection="1"/>
    <xf numFmtId="0" fontId="4" fillId="9" borderId="31" xfId="0" applyNumberFormat="1" applyFont="1" applyFill="1" applyBorder="1" applyAlignment="1">
      <alignment horizontal="right"/>
    </xf>
    <xf numFmtId="0" fontId="4" fillId="9" borderId="31" xfId="0" applyNumberFormat="1" applyFont="1" applyFill="1" applyBorder="1"/>
    <xf numFmtId="0" fontId="0" fillId="12" borderId="1" xfId="0" applyNumberFormat="1" applyFill="1" applyBorder="1"/>
    <xf numFmtId="4" fontId="0" fillId="12" borderId="13" xfId="0" applyNumberFormat="1" applyFill="1" applyBorder="1"/>
    <xf numFmtId="0" fontId="30" fillId="9" borderId="0" xfId="0" applyFont="1" applyFill="1"/>
    <xf numFmtId="168" fontId="4" fillId="9" borderId="29" xfId="0" applyNumberFormat="1" applyFont="1" applyFill="1" applyBorder="1"/>
    <xf numFmtId="0" fontId="22" fillId="9" borderId="29" xfId="0" applyFont="1" applyFill="1" applyBorder="1" applyAlignment="1">
      <alignment horizontal="left" vertical="top" wrapText="1"/>
    </xf>
    <xf numFmtId="0" fontId="0" fillId="9" borderId="29" xfId="0" applyFill="1" applyBorder="1" applyAlignment="1" applyProtection="1">
      <alignment horizontal="left"/>
    </xf>
    <xf numFmtId="0" fontId="3" fillId="9" borderId="29" xfId="0" applyFont="1" applyFill="1" applyBorder="1" applyProtection="1"/>
    <xf numFmtId="0" fontId="15" fillId="12" borderId="0" xfId="0" applyFont="1" applyFill="1" applyBorder="1"/>
    <xf numFmtId="1" fontId="0" fillId="13" borderId="3" xfId="0" applyNumberFormat="1" applyFill="1" applyBorder="1" applyProtection="1">
      <protection locked="0"/>
    </xf>
    <xf numFmtId="4" fontId="0" fillId="12" borderId="1" xfId="0" quotePrefix="1" applyNumberFormat="1" applyFill="1" applyBorder="1" applyProtection="1"/>
    <xf numFmtId="0" fontId="6" fillId="0" borderId="50" xfId="0" applyFont="1" applyBorder="1" applyProtection="1"/>
    <xf numFmtId="0" fontId="6" fillId="0" borderId="53" xfId="0" applyFont="1" applyBorder="1" applyProtection="1"/>
    <xf numFmtId="0" fontId="0" fillId="0" borderId="0" xfId="0"/>
    <xf numFmtId="0" fontId="0" fillId="0" borderId="0" xfId="0" applyFont="1"/>
    <xf numFmtId="0" fontId="0" fillId="0" borderId="1" xfId="0" applyFont="1" applyBorder="1" applyAlignment="1">
      <alignment wrapText="1"/>
    </xf>
    <xf numFmtId="0" fontId="0" fillId="0" borderId="1" xfId="0" applyFont="1" applyBorder="1" applyAlignment="1"/>
    <xf numFmtId="0" fontId="0" fillId="0" borderId="4" xfId="0" applyFont="1" applyBorder="1" applyAlignment="1">
      <alignment horizontal="center"/>
    </xf>
    <xf numFmtId="0" fontId="13" fillId="0" borderId="4" xfId="0" applyFont="1" applyBorder="1" applyAlignment="1">
      <alignment wrapText="1"/>
    </xf>
    <xf numFmtId="0" fontId="0" fillId="8" borderId="4" xfId="0" applyFont="1" applyFill="1" applyBorder="1" applyAlignment="1">
      <alignment horizontal="left" textRotation="90" wrapText="1"/>
    </xf>
    <xf numFmtId="0" fontId="0" fillId="17" borderId="4" xfId="0" applyFont="1" applyFill="1" applyBorder="1" applyAlignment="1">
      <alignment horizontal="center" textRotation="90" wrapText="1"/>
    </xf>
    <xf numFmtId="0" fontId="33" fillId="17" borderId="0" xfId="0" applyFont="1" applyFill="1" applyAlignment="1">
      <alignment horizontal="left" textRotation="90"/>
    </xf>
    <xf numFmtId="0" fontId="0" fillId="4" borderId="4" xfId="0" applyFont="1" applyFill="1" applyBorder="1" applyAlignment="1">
      <alignment horizontal="center" textRotation="90" wrapText="1"/>
    </xf>
    <xf numFmtId="0" fontId="0" fillId="5" borderId="4" xfId="0" applyFont="1" applyFill="1" applyBorder="1" applyAlignment="1">
      <alignment horizontal="center" textRotation="90" wrapText="1"/>
    </xf>
    <xf numFmtId="0" fontId="0" fillId="18" borderId="4" xfId="0" applyFont="1" applyFill="1" applyBorder="1" applyAlignment="1">
      <alignment horizontal="center" textRotation="90" wrapText="1"/>
    </xf>
    <xf numFmtId="0" fontId="0" fillId="11" borderId="4" xfId="0" applyFont="1" applyFill="1" applyBorder="1" applyAlignment="1">
      <alignment horizontal="center" textRotation="90" wrapText="1"/>
    </xf>
    <xf numFmtId="0" fontId="0" fillId="3" borderId="4" xfId="0" applyFont="1" applyFill="1" applyBorder="1" applyAlignment="1">
      <alignment horizontal="center" textRotation="90" wrapText="1"/>
    </xf>
    <xf numFmtId="0" fontId="0" fillId="0" borderId="0" xfId="0" applyFont="1" applyAlignment="1">
      <alignment textRotation="90" wrapText="1"/>
    </xf>
    <xf numFmtId="0" fontId="8" fillId="8" borderId="2" xfId="5" applyFont="1" applyFill="1" applyBorder="1" applyAlignment="1">
      <alignment wrapText="1"/>
    </xf>
    <xf numFmtId="0" fontId="35" fillId="19" borderId="1" xfId="0" applyFont="1" applyFill="1" applyBorder="1" applyAlignment="1">
      <alignment horizontal="center"/>
    </xf>
    <xf numFmtId="0" fontId="36" fillId="0" borderId="1" xfId="5" applyFont="1" applyFill="1" applyBorder="1" applyAlignment="1">
      <alignment horizontal="center" vertical="center" wrapText="1"/>
    </xf>
    <xf numFmtId="0" fontId="36" fillId="20" borderId="1" xfId="5" applyFont="1" applyFill="1" applyBorder="1" applyAlignment="1">
      <alignment horizontal="center" vertical="center" wrapText="1"/>
    </xf>
    <xf numFmtId="0" fontId="36" fillId="21" borderId="1" xfId="5" applyFont="1" applyFill="1" applyBorder="1" applyAlignment="1">
      <alignment horizontal="center" vertical="center" wrapText="1"/>
    </xf>
    <xf numFmtId="0" fontId="36" fillId="22" borderId="1" xfId="5" applyFont="1" applyFill="1" applyBorder="1" applyAlignment="1">
      <alignment horizontal="center" vertical="center" wrapText="1"/>
    </xf>
    <xf numFmtId="0" fontId="36" fillId="19" borderId="1" xfId="5" applyFont="1" applyFill="1" applyBorder="1" applyAlignment="1">
      <alignment horizontal="center" vertical="center" wrapText="1"/>
    </xf>
    <xf numFmtId="0" fontId="37" fillId="0" borderId="1" xfId="0" applyFont="1" applyFill="1" applyBorder="1" applyAlignment="1">
      <alignment horizontal="center" vertical="center" wrapText="1"/>
    </xf>
    <xf numFmtId="0" fontId="0" fillId="0" borderId="0" xfId="0" applyFont="1" applyAlignment="1">
      <alignment textRotation="90"/>
    </xf>
    <xf numFmtId="0" fontId="35" fillId="19" borderId="1" xfId="0" applyFont="1" applyFill="1" applyBorder="1"/>
    <xf numFmtId="0" fontId="0" fillId="0" borderId="1" xfId="0" applyBorder="1"/>
    <xf numFmtId="0" fontId="0" fillId="19" borderId="1" xfId="0" applyFill="1" applyBorder="1"/>
    <xf numFmtId="0" fontId="38" fillId="23"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39" fillId="24" borderId="1" xfId="5"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17" borderId="2" xfId="0" applyFont="1" applyFill="1" applyBorder="1" applyAlignment="1">
      <alignment horizontal="center" wrapText="1"/>
    </xf>
    <xf numFmtId="0" fontId="40" fillId="25" borderId="88" xfId="5" applyFont="1" applyFill="1" applyBorder="1" applyAlignment="1">
      <alignment horizontal="center" vertical="center" wrapText="1"/>
    </xf>
    <xf numFmtId="0" fontId="41" fillId="26" borderId="1" xfId="5" applyFont="1" applyFill="1" applyBorder="1" applyAlignment="1">
      <alignment horizontal="center" vertical="center" wrapText="1"/>
    </xf>
    <xf numFmtId="0" fontId="41" fillId="0" borderId="1" xfId="5" applyFont="1" applyFill="1" applyBorder="1" applyAlignment="1">
      <alignment horizontal="center" vertical="center" wrapText="1"/>
    </xf>
    <xf numFmtId="0" fontId="33" fillId="17" borderId="0" xfId="0" applyFont="1" applyFill="1" applyAlignment="1">
      <alignment horizontal="left"/>
    </xf>
    <xf numFmtId="0" fontId="0" fillId="17" borderId="2" xfId="0" applyFont="1" applyFill="1" applyBorder="1" applyAlignment="1">
      <alignment horizontal="center" vertical="center" wrapText="1"/>
    </xf>
    <xf numFmtId="0" fontId="42" fillId="25" borderId="88" xfId="5" applyFont="1" applyFill="1" applyBorder="1" applyAlignment="1">
      <alignment horizontal="center" vertical="center" wrapText="1"/>
    </xf>
    <xf numFmtId="0" fontId="12" fillId="20" borderId="1" xfId="0" applyFont="1" applyFill="1" applyBorder="1" applyAlignment="1">
      <alignment horizontal="center" vertical="center" wrapText="1"/>
    </xf>
    <xf numFmtId="0" fontId="0" fillId="0" borderId="0" xfId="0" applyFill="1"/>
    <xf numFmtId="0" fontId="0" fillId="4" borderId="2" xfId="0" applyFont="1" applyFill="1" applyBorder="1" applyAlignment="1">
      <alignment horizontal="left" vertical="center" wrapText="1"/>
    </xf>
    <xf numFmtId="0" fontId="41" fillId="25" borderId="88" xfId="5" applyFont="1" applyFill="1" applyBorder="1" applyAlignment="1">
      <alignment horizontal="center" vertical="center" wrapText="1"/>
    </xf>
    <xf numFmtId="0" fontId="36" fillId="25" borderId="88" xfId="5" applyFont="1" applyFill="1" applyBorder="1" applyAlignment="1">
      <alignment horizontal="center" vertical="center" wrapText="1"/>
    </xf>
    <xf numFmtId="0" fontId="36" fillId="27" borderId="1" xfId="5" applyFont="1" applyFill="1" applyBorder="1" applyAlignment="1">
      <alignment horizontal="center" vertical="center" wrapText="1"/>
    </xf>
    <xf numFmtId="0" fontId="37" fillId="6" borderId="1" xfId="0" applyFont="1" applyFill="1" applyBorder="1" applyAlignment="1">
      <alignment horizontal="center" vertical="center"/>
    </xf>
    <xf numFmtId="0" fontId="43" fillId="28" borderId="1" xfId="5" applyFont="1" applyFill="1" applyBorder="1" applyAlignment="1">
      <alignment horizontal="center" vertical="center" wrapText="1"/>
    </xf>
    <xf numFmtId="0" fontId="0" fillId="0" borderId="1" xfId="0" applyFont="1" applyBorder="1" applyAlignment="1">
      <alignment horizontal="center"/>
    </xf>
    <xf numFmtId="0" fontId="0" fillId="5" borderId="2" xfId="0" applyFont="1" applyFill="1" applyBorder="1" applyAlignment="1">
      <alignment horizontal="left" vertical="center" wrapText="1"/>
    </xf>
    <xf numFmtId="0" fontId="0" fillId="18" borderId="2" xfId="0" applyFont="1" applyFill="1" applyBorder="1" applyAlignment="1">
      <alignment horizontal="left" vertical="center" wrapText="1"/>
    </xf>
    <xf numFmtId="0" fontId="38" fillId="23" borderId="1" xfId="0" applyFont="1" applyFill="1" applyBorder="1" applyAlignment="1">
      <alignment horizontal="center" vertical="center"/>
    </xf>
    <xf numFmtId="0" fontId="13" fillId="0" borderId="1" xfId="0" applyFont="1" applyBorder="1" applyAlignment="1">
      <alignment wrapText="1"/>
    </xf>
    <xf numFmtId="0" fontId="0" fillId="11" borderId="2" xfId="0" applyFont="1" applyFill="1" applyBorder="1" applyAlignment="1">
      <alignment horizontal="left" vertical="center" wrapText="1"/>
    </xf>
    <xf numFmtId="0" fontId="0" fillId="3" borderId="2" xfId="0" applyFont="1" applyFill="1" applyBorder="1" applyAlignment="1">
      <alignment horizontal="left" vertical="center" wrapText="1"/>
    </xf>
    <xf numFmtId="0" fontId="36" fillId="29" borderId="88" xfId="5" applyFont="1" applyFill="1" applyBorder="1" applyAlignment="1">
      <alignment horizontal="center" vertical="center" wrapText="1"/>
    </xf>
    <xf numFmtId="0" fontId="0" fillId="0" borderId="0" xfId="0" applyBorder="1"/>
    <xf numFmtId="0" fontId="0" fillId="0" borderId="0" xfId="0" applyAlignment="1">
      <alignment horizontal="center"/>
    </xf>
    <xf numFmtId="0" fontId="0" fillId="0" borderId="1" xfId="0" applyBorder="1" applyAlignment="1">
      <alignment horizontal="left"/>
    </xf>
    <xf numFmtId="0" fontId="36" fillId="0" borderId="89" xfId="5" applyFont="1" applyFill="1" applyBorder="1" applyAlignment="1">
      <alignment horizontal="center" vertical="center" wrapText="1"/>
    </xf>
    <xf numFmtId="0" fontId="0" fillId="0" borderId="1" xfId="0" applyBorder="1" applyAlignment="1"/>
    <xf numFmtId="0" fontId="36" fillId="30" borderId="1" xfId="5" applyFont="1" applyFill="1" applyBorder="1" applyAlignment="1">
      <alignment horizontal="center" vertical="center" wrapText="1"/>
    </xf>
    <xf numFmtId="0" fontId="37" fillId="31" borderId="1" xfId="0" applyFont="1" applyFill="1" applyBorder="1" applyAlignment="1">
      <alignment horizontal="center" vertical="center"/>
    </xf>
    <xf numFmtId="0" fontId="0" fillId="0" borderId="17" xfId="0" applyBorder="1" applyAlignment="1">
      <alignment vertical="top" wrapText="1"/>
    </xf>
    <xf numFmtId="0" fontId="35" fillId="27" borderId="1" xfId="0" applyFont="1" applyFill="1" applyBorder="1" applyAlignment="1">
      <alignment horizontal="center"/>
    </xf>
    <xf numFmtId="0" fontId="45" fillId="22" borderId="1" xfId="0" applyFont="1" applyFill="1" applyBorder="1" applyAlignment="1">
      <alignment horizontal="center"/>
    </xf>
    <xf numFmtId="0" fontId="0" fillId="0" borderId="1" xfId="0" applyBorder="1" applyAlignment="1">
      <alignment wrapText="1"/>
    </xf>
    <xf numFmtId="0" fontId="38" fillId="23" borderId="1" xfId="0" applyFont="1" applyFill="1" applyBorder="1" applyAlignment="1">
      <alignment horizontal="center"/>
    </xf>
    <xf numFmtId="0" fontId="16" fillId="0" borderId="1" xfId="0" applyFont="1" applyBorder="1" applyAlignment="1">
      <alignment horizontal="center"/>
    </xf>
    <xf numFmtId="0" fontId="16" fillId="25" borderId="91" xfId="0" applyFont="1" applyFill="1" applyBorder="1" applyAlignment="1">
      <alignment horizontal="center"/>
    </xf>
    <xf numFmtId="0" fontId="0" fillId="0" borderId="0" xfId="0"/>
    <xf numFmtId="0" fontId="0" fillId="0" borderId="0" xfId="0"/>
    <xf numFmtId="0" fontId="0" fillId="5" borderId="57" xfId="0" applyFill="1" applyBorder="1" applyProtection="1"/>
    <xf numFmtId="3" fontId="0" fillId="0" borderId="5" xfId="0" applyNumberFormat="1" applyBorder="1" applyProtection="1"/>
    <xf numFmtId="3" fontId="0" fillId="5" borderId="5" xfId="0" applyNumberFormat="1" applyFill="1" applyBorder="1" applyProtection="1"/>
    <xf numFmtId="0" fontId="0" fillId="5" borderId="2" xfId="0" applyNumberFormat="1" applyFill="1" applyBorder="1" applyProtection="1"/>
    <xf numFmtId="3" fontId="0" fillId="0" borderId="87" xfId="0" applyNumberFormat="1" applyBorder="1" applyProtection="1"/>
    <xf numFmtId="3" fontId="3" fillId="5" borderId="8" xfId="0" applyNumberFormat="1" applyFont="1" applyFill="1" applyBorder="1" applyProtection="1"/>
    <xf numFmtId="0" fontId="0" fillId="6" borderId="2" xfId="0" applyFill="1" applyBorder="1" applyProtection="1"/>
    <xf numFmtId="3" fontId="0" fillId="0" borderId="11" xfId="0" applyNumberFormat="1" applyBorder="1" applyProtection="1"/>
    <xf numFmtId="3" fontId="3" fillId="6" borderId="8" xfId="0" applyNumberFormat="1" applyFont="1" applyFill="1" applyBorder="1" applyProtection="1"/>
    <xf numFmtId="3" fontId="0" fillId="15" borderId="57" xfId="0" quotePrefix="1" applyNumberFormat="1" applyFont="1" applyFill="1" applyBorder="1" applyAlignment="1" applyProtection="1">
      <alignment horizontal="right"/>
    </xf>
    <xf numFmtId="3" fontId="0" fillId="9" borderId="2" xfId="0" applyNumberFormat="1" applyFont="1" applyFill="1" applyBorder="1" applyProtection="1"/>
    <xf numFmtId="0" fontId="0" fillId="15" borderId="2" xfId="0" applyNumberFormat="1" applyFont="1" applyFill="1" applyBorder="1" applyAlignment="1" applyProtection="1">
      <alignment horizontal="right"/>
    </xf>
    <xf numFmtId="3" fontId="0" fillId="9" borderId="87" xfId="0" applyNumberFormat="1" applyFont="1" applyFill="1" applyBorder="1" applyProtection="1"/>
    <xf numFmtId="3" fontId="3" fillId="15" borderId="93" xfId="0" applyNumberFormat="1" applyFont="1" applyFill="1" applyBorder="1" applyProtection="1"/>
    <xf numFmtId="0" fontId="0" fillId="9" borderId="0" xfId="0" applyFill="1" applyAlignment="1"/>
    <xf numFmtId="0" fontId="0" fillId="3" borderId="41" xfId="0" applyFill="1" applyBorder="1" applyAlignment="1"/>
    <xf numFmtId="0" fontId="22" fillId="9" borderId="29" xfId="0" applyFont="1" applyFill="1" applyBorder="1" applyAlignment="1">
      <alignment horizontal="left" wrapText="1"/>
    </xf>
    <xf numFmtId="0" fontId="0" fillId="3" borderId="15" xfId="0" applyFill="1" applyBorder="1" applyAlignment="1"/>
    <xf numFmtId="0" fontId="0" fillId="0" borderId="0" xfId="0" applyAlignment="1"/>
    <xf numFmtId="0" fontId="0" fillId="9" borderId="26" xfId="0" applyFill="1" applyBorder="1" applyAlignment="1" applyProtection="1"/>
    <xf numFmtId="0" fontId="0" fillId="12" borderId="79" xfId="0" applyFill="1" applyBorder="1" applyAlignment="1" applyProtection="1"/>
    <xf numFmtId="0" fontId="0" fillId="12" borderId="94" xfId="0" applyFill="1" applyBorder="1"/>
    <xf numFmtId="0" fontId="0" fillId="9" borderId="95" xfId="0" applyFill="1" applyBorder="1" applyProtection="1"/>
    <xf numFmtId="0" fontId="22" fillId="9" borderId="74" xfId="0" applyFont="1" applyFill="1" applyBorder="1" applyAlignment="1">
      <alignment horizontal="left"/>
    </xf>
    <xf numFmtId="0" fontId="22" fillId="9" borderId="92" xfId="0" applyFont="1" applyFill="1" applyBorder="1" applyAlignment="1">
      <alignment horizontal="left"/>
    </xf>
    <xf numFmtId="0" fontId="22" fillId="9" borderId="75" xfId="0" applyFont="1" applyFill="1" applyBorder="1" applyAlignment="1">
      <alignment horizontal="left"/>
    </xf>
    <xf numFmtId="0" fontId="18" fillId="9" borderId="0" xfId="3" applyFill="1" applyBorder="1" applyAlignment="1" applyProtection="1">
      <alignment horizontal="left" vertical="top"/>
    </xf>
    <xf numFmtId="0" fontId="18" fillId="9" borderId="30" xfId="3" applyFill="1" applyBorder="1" applyAlignment="1" applyProtection="1">
      <alignment horizontal="left" vertical="top"/>
    </xf>
    <xf numFmtId="0" fontId="18" fillId="9" borderId="34" xfId="3" applyFill="1" applyBorder="1" applyAlignment="1" applyProtection="1">
      <alignment horizontal="left" vertical="top"/>
    </xf>
    <xf numFmtId="0" fontId="18" fillId="9" borderId="35" xfId="3" applyFill="1" applyBorder="1" applyAlignment="1" applyProtection="1">
      <alignment horizontal="left" vertical="top"/>
    </xf>
    <xf numFmtId="0" fontId="18" fillId="9" borderId="28" xfId="3" applyFill="1" applyBorder="1" applyAlignment="1" applyProtection="1">
      <alignment horizontal="left" vertical="top"/>
    </xf>
    <xf numFmtId="0" fontId="18" fillId="9" borderId="32" xfId="3" applyFill="1" applyBorder="1" applyAlignment="1" applyProtection="1">
      <alignment horizontal="left" vertical="top"/>
    </xf>
    <xf numFmtId="0" fontId="3" fillId="9" borderId="29" xfId="0" applyFont="1" applyFill="1" applyBorder="1" applyAlignment="1">
      <alignment horizontal="left" vertical="top" wrapText="1"/>
    </xf>
    <xf numFmtId="0" fontId="3" fillId="9" borderId="0" xfId="0" applyFont="1" applyFill="1" applyBorder="1" applyAlignment="1">
      <alignment horizontal="left" vertical="top" wrapText="1"/>
    </xf>
    <xf numFmtId="0" fontId="3" fillId="9" borderId="31" xfId="0" applyFont="1" applyFill="1" applyBorder="1" applyAlignment="1">
      <alignment horizontal="left" vertical="top" wrapText="1"/>
    </xf>
    <xf numFmtId="0" fontId="3" fillId="9" borderId="28" xfId="0" applyFont="1" applyFill="1" applyBorder="1" applyAlignment="1">
      <alignment horizontal="left" vertical="top" wrapText="1"/>
    </xf>
    <xf numFmtId="0" fontId="3" fillId="9" borderId="33" xfId="0" applyFont="1" applyFill="1" applyBorder="1" applyAlignment="1">
      <alignment horizontal="left" vertical="top" wrapText="1"/>
    </xf>
    <xf numFmtId="0" fontId="3" fillId="9" borderId="34" xfId="0" applyFont="1" applyFill="1" applyBorder="1" applyAlignment="1">
      <alignment horizontal="left" vertical="top" wrapText="1"/>
    </xf>
    <xf numFmtId="0" fontId="18" fillId="0" borderId="0" xfId="3" applyBorder="1" applyAlignment="1" applyProtection="1">
      <alignment horizontal="left" vertical="top"/>
    </xf>
    <xf numFmtId="0" fontId="18" fillId="0" borderId="30" xfId="3" applyBorder="1" applyAlignment="1" applyProtection="1">
      <alignment horizontal="left" vertical="top"/>
    </xf>
    <xf numFmtId="0" fontId="18" fillId="0" borderId="28" xfId="3" applyBorder="1" applyAlignment="1" applyProtection="1">
      <alignment horizontal="left" vertical="top"/>
    </xf>
    <xf numFmtId="0" fontId="18" fillId="0" borderId="32" xfId="3" applyBorder="1" applyAlignment="1" applyProtection="1">
      <alignment horizontal="left" vertical="top"/>
    </xf>
    <xf numFmtId="0" fontId="0" fillId="9" borderId="37" xfId="0" applyFill="1" applyBorder="1" applyAlignment="1" applyProtection="1">
      <alignment horizontal="left" vertical="top"/>
    </xf>
    <xf numFmtId="0" fontId="0" fillId="9" borderId="38" xfId="0" applyFill="1" applyBorder="1" applyAlignment="1" applyProtection="1">
      <alignment horizontal="left" vertical="top"/>
    </xf>
    <xf numFmtId="0" fontId="0" fillId="9" borderId="28" xfId="0" applyFill="1" applyBorder="1" applyAlignment="1" applyProtection="1">
      <alignment horizontal="left" vertical="top"/>
    </xf>
    <xf numFmtId="0" fontId="0" fillId="9" borderId="32" xfId="0" applyFill="1" applyBorder="1" applyAlignment="1" applyProtection="1">
      <alignment horizontal="left" vertical="top"/>
    </xf>
    <xf numFmtId="0" fontId="16" fillId="9" borderId="36" xfId="0" applyFont="1" applyFill="1" applyBorder="1" applyAlignment="1">
      <alignment horizontal="center" vertical="center" wrapText="1"/>
    </xf>
    <xf numFmtId="0" fontId="16" fillId="9" borderId="37" xfId="0" applyFont="1" applyFill="1" applyBorder="1" applyAlignment="1">
      <alignment horizontal="center" vertical="center" wrapText="1"/>
    </xf>
    <xf numFmtId="0" fontId="16" fillId="9" borderId="38" xfId="0" applyFont="1" applyFill="1" applyBorder="1" applyAlignment="1">
      <alignment horizontal="center" vertical="center" wrapText="1"/>
    </xf>
    <xf numFmtId="0" fontId="26" fillId="9" borderId="0" xfId="3" applyFont="1" applyFill="1" applyBorder="1" applyAlignment="1">
      <alignment horizontal="justify" vertical="justify" wrapText="1"/>
    </xf>
    <xf numFmtId="0" fontId="26" fillId="9" borderId="30" xfId="3" applyFont="1" applyFill="1" applyBorder="1" applyAlignment="1">
      <alignment horizontal="justify" vertical="justify" wrapText="1"/>
    </xf>
    <xf numFmtId="0" fontId="22" fillId="9" borderId="29" xfId="0" applyFont="1" applyFill="1" applyBorder="1" applyAlignment="1">
      <alignment horizontal="left" vertical="top" wrapText="1"/>
    </xf>
    <xf numFmtId="0" fontId="22" fillId="9" borderId="0" xfId="0" applyFont="1" applyFill="1" applyBorder="1" applyAlignment="1">
      <alignment horizontal="justify" vertical="justify" wrapText="1"/>
    </xf>
    <xf numFmtId="0" fontId="22" fillId="9" borderId="30" xfId="0" applyFont="1" applyFill="1" applyBorder="1" applyAlignment="1">
      <alignment horizontal="justify" vertical="justify" wrapText="1"/>
    </xf>
    <xf numFmtId="0" fontId="22" fillId="9" borderId="34" xfId="0" applyFont="1" applyFill="1" applyBorder="1" applyAlignment="1">
      <alignment horizontal="justify" vertical="justify" wrapText="1"/>
    </xf>
    <xf numFmtId="0" fontId="22" fillId="9" borderId="35" xfId="0" applyFont="1" applyFill="1" applyBorder="1" applyAlignment="1">
      <alignment horizontal="justify" vertical="justify" wrapText="1"/>
    </xf>
    <xf numFmtId="0" fontId="22" fillId="9" borderId="33" xfId="0" applyFont="1" applyFill="1" applyBorder="1" applyAlignment="1">
      <alignment horizontal="left" vertical="top" wrapText="1"/>
    </xf>
    <xf numFmtId="0" fontId="27" fillId="9" borderId="0" xfId="0" applyFont="1" applyFill="1" applyBorder="1" applyAlignment="1">
      <alignment horizontal="justify" vertical="top" wrapText="1"/>
    </xf>
    <xf numFmtId="0" fontId="27" fillId="9" borderId="30" xfId="0" applyFont="1" applyFill="1" applyBorder="1" applyAlignment="1">
      <alignment horizontal="justify" vertical="top" wrapText="1"/>
    </xf>
    <xf numFmtId="0" fontId="22" fillId="9" borderId="29" xfId="0" applyFont="1" applyFill="1" applyBorder="1" applyAlignment="1">
      <alignment horizontal="justify" vertical="justify" wrapText="1"/>
    </xf>
    <xf numFmtId="0" fontId="22" fillId="9" borderId="33" xfId="0" applyFont="1" applyFill="1" applyBorder="1" applyAlignment="1">
      <alignment horizontal="justify" vertical="justify" wrapText="1"/>
    </xf>
    <xf numFmtId="0" fontId="16" fillId="3" borderId="0" xfId="0" applyFont="1" applyFill="1" applyBorder="1" applyAlignment="1">
      <alignment horizontal="center"/>
    </xf>
    <xf numFmtId="0" fontId="3" fillId="9" borderId="36" xfId="0" applyFont="1" applyFill="1" applyBorder="1" applyAlignment="1">
      <alignment horizontal="left" vertical="top" wrapText="1"/>
    </xf>
    <xf numFmtId="0" fontId="3" fillId="9" borderId="37" xfId="0" applyFont="1" applyFill="1" applyBorder="1" applyAlignment="1">
      <alignment horizontal="left" vertical="top" wrapText="1"/>
    </xf>
    <xf numFmtId="0" fontId="22" fillId="9" borderId="29" xfId="0" applyFont="1" applyFill="1" applyBorder="1" applyAlignment="1">
      <alignment horizontal="justify" vertical="justify"/>
    </xf>
    <xf numFmtId="0" fontId="22" fillId="9" borderId="0" xfId="0" applyFont="1" applyFill="1" applyBorder="1" applyAlignment="1">
      <alignment horizontal="justify" vertical="justify"/>
    </xf>
    <xf numFmtId="0" fontId="22" fillId="9" borderId="30" xfId="0" applyFont="1" applyFill="1" applyBorder="1" applyAlignment="1">
      <alignment horizontal="justify" vertical="justify"/>
    </xf>
    <xf numFmtId="0" fontId="24" fillId="9" borderId="0" xfId="0" applyFont="1" applyFill="1" applyBorder="1" applyAlignment="1">
      <alignment horizontal="left" vertical="top" wrapText="1"/>
    </xf>
    <xf numFmtId="0" fontId="24" fillId="9" borderId="30" xfId="0" applyFont="1" applyFill="1" applyBorder="1" applyAlignment="1">
      <alignment horizontal="left" vertical="top" wrapText="1"/>
    </xf>
    <xf numFmtId="0" fontId="22" fillId="0" borderId="29" xfId="0" applyFont="1" applyBorder="1" applyAlignment="1">
      <alignment horizontal="justify" vertical="justify" wrapText="1"/>
    </xf>
    <xf numFmtId="0" fontId="22" fillId="0" borderId="0" xfId="0" applyFont="1" applyBorder="1" applyAlignment="1">
      <alignment horizontal="justify" vertical="justify" wrapText="1"/>
    </xf>
    <xf numFmtId="0" fontId="22" fillId="0" borderId="30" xfId="0" applyFont="1" applyBorder="1" applyAlignment="1">
      <alignment horizontal="justify" vertical="justify" wrapText="1"/>
    </xf>
    <xf numFmtId="0" fontId="24" fillId="9" borderId="29" xfId="0" applyFont="1" applyFill="1" applyBorder="1" applyAlignment="1">
      <alignment horizontal="justify" vertical="justify" wrapText="1"/>
    </xf>
    <xf numFmtId="0" fontId="24" fillId="9" borderId="0" xfId="0" applyFont="1" applyFill="1" applyBorder="1" applyAlignment="1">
      <alignment horizontal="justify" vertical="justify" wrapText="1"/>
    </xf>
    <xf numFmtId="0" fontId="24" fillId="9" borderId="30" xfId="0" applyFont="1" applyFill="1" applyBorder="1" applyAlignment="1">
      <alignment horizontal="justify" vertical="justify" wrapText="1"/>
    </xf>
    <xf numFmtId="0" fontId="17" fillId="3" borderId="0" xfId="0" applyFont="1" applyFill="1" applyBorder="1" applyAlignment="1">
      <alignment horizontal="center" vertical="center"/>
    </xf>
    <xf numFmtId="0" fontId="22" fillId="9" borderId="29" xfId="0" applyFont="1" applyFill="1" applyBorder="1" applyAlignment="1">
      <alignment horizontal="left" vertical="justify" wrapText="1"/>
    </xf>
    <xf numFmtId="0" fontId="22" fillId="9" borderId="0" xfId="0" applyFont="1" applyFill="1" applyBorder="1" applyAlignment="1">
      <alignment horizontal="left" vertical="justify" wrapText="1"/>
    </xf>
    <xf numFmtId="0" fontId="22" fillId="9" borderId="30" xfId="0" applyFont="1" applyFill="1" applyBorder="1" applyAlignment="1">
      <alignment horizontal="left" vertical="justify" wrapText="1"/>
    </xf>
    <xf numFmtId="0" fontId="21" fillId="9" borderId="36" xfId="0" applyFont="1" applyFill="1" applyBorder="1" applyAlignment="1">
      <alignment horizontal="justify" vertical="justify" wrapText="1"/>
    </xf>
    <xf numFmtId="0" fontId="0" fillId="0" borderId="37" xfId="0" applyBorder="1"/>
    <xf numFmtId="0" fontId="0" fillId="0" borderId="38" xfId="0" applyBorder="1"/>
    <xf numFmtId="0" fontId="0" fillId="0" borderId="29" xfId="0" applyBorder="1"/>
    <xf numFmtId="0" fontId="0" fillId="0" borderId="0" xfId="0"/>
    <xf numFmtId="0" fontId="0" fillId="0" borderId="30" xfId="0" applyBorder="1"/>
    <xf numFmtId="167" fontId="0" fillId="9" borderId="0" xfId="0" applyNumberFormat="1" applyFill="1" applyBorder="1" applyAlignment="1" applyProtection="1">
      <alignment horizontal="left" vertical="center"/>
    </xf>
    <xf numFmtId="0" fontId="0" fillId="13" borderId="14" xfId="0" quotePrefix="1" applyFill="1" applyBorder="1" applyAlignment="1" applyProtection="1">
      <alignment horizontal="left"/>
      <protection locked="0"/>
    </xf>
    <xf numFmtId="0" fontId="0" fillId="13" borderId="12" xfId="0" quotePrefix="1" applyFill="1" applyBorder="1" applyAlignment="1" applyProtection="1">
      <alignment horizontal="left"/>
      <protection locked="0"/>
    </xf>
    <xf numFmtId="167" fontId="0" fillId="9" borderId="0" xfId="0" applyNumberFormat="1" applyFill="1" applyBorder="1" applyAlignment="1" applyProtection="1">
      <alignment horizontal="left"/>
    </xf>
    <xf numFmtId="167" fontId="0" fillId="9" borderId="15" xfId="0" applyNumberFormat="1" applyFill="1" applyBorder="1" applyAlignment="1" applyProtection="1">
      <alignment horizontal="left"/>
    </xf>
    <xf numFmtId="0" fontId="0" fillId="9" borderId="29" xfId="0" applyFill="1" applyBorder="1" applyAlignment="1" applyProtection="1">
      <alignment horizontal="left" wrapText="1"/>
    </xf>
    <xf numFmtId="0" fontId="0" fillId="9" borderId="0" xfId="0" applyFill="1" applyBorder="1" applyAlignment="1" applyProtection="1">
      <alignment horizontal="left" wrapText="1"/>
    </xf>
    <xf numFmtId="0" fontId="16" fillId="3" borderId="0" xfId="0" applyFont="1" applyFill="1" applyBorder="1" applyAlignment="1">
      <alignment horizontal="center" vertical="center"/>
    </xf>
    <xf numFmtId="0" fontId="0" fillId="9" borderId="0" xfId="0" applyFill="1" applyAlignment="1">
      <alignment horizontal="left"/>
    </xf>
    <xf numFmtId="0" fontId="0" fillId="9" borderId="15" xfId="0" applyFill="1" applyBorder="1" applyAlignment="1">
      <alignment horizontal="left"/>
    </xf>
    <xf numFmtId="0" fontId="0" fillId="9" borderId="0" xfId="0" applyFill="1" applyBorder="1" applyAlignment="1" applyProtection="1">
      <alignment horizontal="center" wrapText="1"/>
    </xf>
    <xf numFmtId="2" fontId="4" fillId="9" borderId="31" xfId="0" applyNumberFormat="1" applyFont="1" applyFill="1" applyBorder="1" applyAlignment="1">
      <alignment horizontal="center"/>
    </xf>
    <xf numFmtId="2" fontId="4" fillId="9" borderId="59" xfId="0" applyNumberFormat="1" applyFont="1" applyFill="1" applyBorder="1" applyAlignment="1">
      <alignment horizontal="center"/>
    </xf>
    <xf numFmtId="0" fontId="3" fillId="9" borderId="49" xfId="0" applyFont="1" applyFill="1" applyBorder="1" applyAlignment="1" applyProtection="1">
      <alignment horizontal="left" wrapText="1"/>
    </xf>
    <xf numFmtId="0" fontId="3" fillId="9" borderId="69" xfId="0" applyFont="1" applyFill="1" applyBorder="1" applyAlignment="1" applyProtection="1">
      <alignment horizontal="left" wrapText="1"/>
    </xf>
    <xf numFmtId="0" fontId="0" fillId="9" borderId="0" xfId="0" applyFill="1" applyAlignment="1">
      <alignment horizontal="left" wrapText="1"/>
    </xf>
    <xf numFmtId="0" fontId="0" fillId="9" borderId="30" xfId="0" applyFill="1" applyBorder="1" applyAlignment="1">
      <alignment horizontal="center" vertical="center" textRotation="255"/>
    </xf>
    <xf numFmtId="0" fontId="0" fillId="9" borderId="68" xfId="0" applyFill="1" applyBorder="1" applyAlignment="1">
      <alignment horizontal="center" vertical="center" textRotation="255"/>
    </xf>
    <xf numFmtId="0" fontId="3" fillId="9" borderId="74" xfId="0" applyFont="1" applyFill="1" applyBorder="1" applyAlignment="1">
      <alignment horizontal="center"/>
    </xf>
    <xf numFmtId="0" fontId="3" fillId="9" borderId="92" xfId="0" applyFont="1" applyFill="1" applyBorder="1" applyAlignment="1">
      <alignment horizontal="center"/>
    </xf>
    <xf numFmtId="0" fontId="3" fillId="9" borderId="75" xfId="0" applyFont="1" applyFill="1" applyBorder="1" applyAlignment="1">
      <alignment horizontal="center"/>
    </xf>
    <xf numFmtId="0" fontId="0" fillId="12" borderId="63" xfId="0" applyFill="1" applyBorder="1" applyAlignment="1" applyProtection="1">
      <alignment horizontal="left"/>
    </xf>
    <xf numFmtId="0" fontId="0" fillId="12" borderId="28" xfId="0" applyFill="1" applyBorder="1" applyAlignment="1" applyProtection="1">
      <alignment horizontal="left"/>
    </xf>
    <xf numFmtId="0" fontId="0" fillId="12" borderId="19" xfId="0" applyFill="1" applyBorder="1" applyAlignment="1" applyProtection="1">
      <alignment horizontal="left"/>
    </xf>
    <xf numFmtId="0" fontId="0" fillId="12" borderId="64" xfId="0" applyFill="1" applyBorder="1" applyAlignment="1" applyProtection="1">
      <alignment horizontal="left"/>
    </xf>
    <xf numFmtId="0" fontId="0" fillId="12" borderId="27" xfId="0" applyFill="1" applyBorder="1" applyAlignment="1" applyProtection="1">
      <alignment horizontal="left"/>
    </xf>
    <xf numFmtId="0" fontId="0" fillId="12" borderId="18" xfId="0" applyFill="1" applyBorder="1" applyAlignment="1" applyProtection="1">
      <alignment horizontal="left"/>
    </xf>
    <xf numFmtId="0" fontId="0" fillId="9" borderId="76" xfId="0" applyFill="1" applyBorder="1" applyAlignment="1" applyProtection="1">
      <alignment horizontal="left"/>
    </xf>
    <xf numFmtId="0" fontId="0" fillId="9" borderId="27" xfId="0" applyFill="1" applyBorder="1" applyAlignment="1" applyProtection="1">
      <alignment horizontal="left"/>
    </xf>
    <xf numFmtId="0" fontId="0" fillId="9" borderId="18" xfId="0" applyFill="1" applyBorder="1" applyAlignment="1" applyProtection="1">
      <alignment horizontal="left"/>
    </xf>
    <xf numFmtId="0" fontId="0" fillId="9" borderId="76" xfId="0" applyFill="1" applyBorder="1" applyAlignment="1">
      <alignment horizontal="left"/>
    </xf>
    <xf numFmtId="0" fontId="0" fillId="9" borderId="27" xfId="0" applyFill="1" applyBorder="1" applyAlignment="1">
      <alignment horizontal="left"/>
    </xf>
    <xf numFmtId="0" fontId="0" fillId="9" borderId="18" xfId="0" applyFill="1" applyBorder="1" applyAlignment="1">
      <alignment horizontal="left"/>
    </xf>
    <xf numFmtId="0" fontId="0" fillId="9" borderId="31" xfId="0" applyFill="1" applyBorder="1" applyAlignment="1">
      <alignment horizontal="left"/>
    </xf>
    <xf numFmtId="0" fontId="0" fillId="9" borderId="28" xfId="0" applyFill="1" applyBorder="1" applyAlignment="1">
      <alignment horizontal="left"/>
    </xf>
    <xf numFmtId="0" fontId="0" fillId="9" borderId="19" xfId="0" applyFill="1" applyBorder="1" applyAlignment="1">
      <alignment horizontal="left"/>
    </xf>
    <xf numFmtId="0" fontId="0" fillId="9" borderId="31" xfId="0" applyFill="1" applyBorder="1" applyAlignment="1" applyProtection="1">
      <alignment horizontal="left"/>
    </xf>
    <xf numFmtId="0" fontId="0" fillId="9" borderId="28" xfId="0" applyFill="1" applyBorder="1" applyAlignment="1" applyProtection="1">
      <alignment horizontal="left"/>
    </xf>
    <xf numFmtId="0" fontId="0" fillId="9" borderId="19" xfId="0" applyFill="1" applyBorder="1" applyAlignment="1" applyProtection="1">
      <alignment horizontal="left"/>
    </xf>
    <xf numFmtId="0" fontId="0" fillId="12" borderId="4" xfId="0" applyFill="1" applyBorder="1" applyAlignment="1">
      <alignment horizontal="center"/>
    </xf>
    <xf numFmtId="0" fontId="0" fillId="12" borderId="10" xfId="0" applyFill="1" applyBorder="1" applyAlignment="1">
      <alignment horizontal="center"/>
    </xf>
    <xf numFmtId="0" fontId="0" fillId="9" borderId="72" xfId="0" applyFill="1" applyBorder="1" applyAlignment="1">
      <alignment horizontal="center" vertical="center"/>
    </xf>
    <xf numFmtId="0" fontId="0" fillId="9" borderId="71" xfId="0" applyFill="1" applyBorder="1" applyAlignment="1">
      <alignment horizontal="center" vertical="center"/>
    </xf>
    <xf numFmtId="0" fontId="0" fillId="9" borderId="86" xfId="0" applyFill="1" applyBorder="1" applyAlignment="1">
      <alignment horizontal="center" vertical="center"/>
    </xf>
    <xf numFmtId="0" fontId="0" fillId="9" borderId="2" xfId="0" applyFill="1" applyBorder="1" applyAlignment="1">
      <alignment horizontal="center" vertical="center"/>
    </xf>
    <xf numFmtId="0" fontId="0" fillId="9" borderId="5" xfId="0" applyFill="1" applyBorder="1" applyAlignment="1">
      <alignment horizontal="center" vertical="center"/>
    </xf>
    <xf numFmtId="0" fontId="0" fillId="9" borderId="0" xfId="0" applyFill="1" applyBorder="1" applyAlignment="1" applyProtection="1">
      <alignment horizontal="left"/>
    </xf>
    <xf numFmtId="0" fontId="0" fillId="9" borderId="26" xfId="0" applyFill="1" applyBorder="1" applyAlignment="1" applyProtection="1">
      <alignment horizontal="left"/>
    </xf>
    <xf numFmtId="0" fontId="0" fillId="9" borderId="11" xfId="0" applyFill="1" applyBorder="1" applyAlignment="1">
      <alignment horizontal="center" vertical="center"/>
    </xf>
    <xf numFmtId="0" fontId="0" fillId="9" borderId="73" xfId="0" applyFill="1" applyBorder="1" applyAlignment="1">
      <alignment horizontal="center" vertical="center"/>
    </xf>
    <xf numFmtId="0" fontId="0" fillId="9" borderId="29" xfId="0" applyFill="1" applyBorder="1" applyAlignment="1" applyProtection="1">
      <alignment horizontal="left"/>
    </xf>
    <xf numFmtId="0" fontId="0" fillId="9" borderId="82" xfId="0" applyFill="1" applyBorder="1" applyAlignment="1" applyProtection="1">
      <alignment horizontal="left"/>
    </xf>
    <xf numFmtId="0" fontId="0" fillId="9" borderId="84" xfId="0" applyFill="1" applyBorder="1" applyAlignment="1" applyProtection="1">
      <alignment horizontal="left"/>
    </xf>
    <xf numFmtId="0" fontId="0" fillId="9" borderId="76" xfId="0" applyFill="1" applyBorder="1" applyAlignment="1">
      <alignment horizontal="left" vertical="center"/>
    </xf>
    <xf numFmtId="0" fontId="0" fillId="9" borderId="27" xfId="0" applyFill="1" applyBorder="1" applyAlignment="1">
      <alignment horizontal="left" vertical="center"/>
    </xf>
    <xf numFmtId="0" fontId="0" fillId="9" borderId="18" xfId="0" applyFill="1" applyBorder="1" applyAlignment="1">
      <alignment horizontal="left" vertical="center"/>
    </xf>
    <xf numFmtId="0" fontId="0" fillId="9" borderId="31" xfId="0" applyFill="1" applyBorder="1" applyAlignment="1">
      <alignment horizontal="left" vertical="center"/>
    </xf>
    <xf numFmtId="0" fontId="0" fillId="9" borderId="28" xfId="0" applyFill="1" applyBorder="1" applyAlignment="1">
      <alignment horizontal="left" vertical="center"/>
    </xf>
    <xf numFmtId="0" fontId="0" fillId="9" borderId="19" xfId="0" applyFill="1" applyBorder="1" applyAlignment="1">
      <alignment horizontal="left" vertical="center"/>
    </xf>
    <xf numFmtId="0" fontId="13" fillId="0" borderId="1" xfId="0" applyFont="1" applyBorder="1" applyAlignment="1">
      <alignment horizontal="center" vertical="center" textRotation="90" wrapText="1"/>
    </xf>
    <xf numFmtId="0" fontId="0" fillId="0" borderId="1" xfId="0" applyBorder="1" applyAlignment="1">
      <alignment wrapText="1"/>
    </xf>
    <xf numFmtId="0" fontId="0" fillId="0" borderId="1" xfId="0" applyBorder="1" applyAlignment="1">
      <alignment horizontal="left" wrapText="1"/>
    </xf>
    <xf numFmtId="0" fontId="34" fillId="0" borderId="1" xfId="5" applyBorder="1" applyAlignment="1">
      <alignment horizontal="left" wrapText="1"/>
    </xf>
    <xf numFmtId="0" fontId="0" fillId="0" borderId="1" xfId="0" applyBorder="1" applyAlignment="1"/>
    <xf numFmtId="0" fontId="0" fillId="0" borderId="2" xfId="0" applyBorder="1" applyAlignment="1">
      <alignment vertical="top" wrapText="1"/>
    </xf>
    <xf numFmtId="0" fontId="0" fillId="0" borderId="90" xfId="0" applyBorder="1" applyAlignment="1">
      <alignment vertical="top" wrapText="1"/>
    </xf>
    <xf numFmtId="0" fontId="0" fillId="0" borderId="17" xfId="0" applyBorder="1" applyAlignment="1">
      <alignment vertical="top" wrapText="1"/>
    </xf>
    <xf numFmtId="0" fontId="0" fillId="0" borderId="1" xfId="0" applyBorder="1" applyAlignment="1">
      <alignment horizontal="left"/>
    </xf>
    <xf numFmtId="0" fontId="13" fillId="0" borderId="4" xfId="0" applyFont="1" applyBorder="1" applyAlignment="1">
      <alignment horizontal="center" vertical="center"/>
    </xf>
    <xf numFmtId="0" fontId="36" fillId="21" borderId="1" xfId="5" applyFont="1" applyFill="1" applyBorder="1" applyAlignment="1">
      <alignment horizontal="center" vertical="center" wrapText="1"/>
    </xf>
    <xf numFmtId="0" fontId="13" fillId="0" borderId="1" xfId="0" applyFont="1" applyBorder="1" applyAlignment="1">
      <alignment horizontal="center" textRotation="90" wrapText="1"/>
    </xf>
    <xf numFmtId="0" fontId="0" fillId="0" borderId="0"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4" xfId="0" applyFont="1" applyBorder="1" applyAlignment="1">
      <alignment horizontal="center" wrapText="1"/>
    </xf>
  </cellXfs>
  <cellStyles count="6">
    <cellStyle name="Link" xfId="3" builtinId="8"/>
    <cellStyle name="Prozent" xfId="1" builtinId="5"/>
    <cellStyle name="Standard" xfId="0" builtinId="0"/>
    <cellStyle name="Standard 2" xfId="5"/>
    <cellStyle name="Währung" xfId="2" builtinId="4"/>
    <cellStyle name="Währung 2" xfId="4"/>
  </cellStyles>
  <dxfs count="127">
    <dxf>
      <font>
        <color rgb="FF9C0006"/>
      </font>
      <fill>
        <patternFill>
          <bgColor theme="7" tint="0.79998168889431442"/>
        </patternFill>
      </fill>
    </dxf>
    <dxf>
      <fill>
        <patternFill>
          <bgColor rgb="FFFFC7CE"/>
        </patternFill>
      </fill>
    </dxf>
    <dxf>
      <fill>
        <patternFill>
          <bgColor theme="0"/>
        </patternFill>
      </fill>
    </dxf>
    <dxf>
      <font>
        <color rgb="FF9C0006"/>
      </font>
      <fill>
        <patternFill>
          <bgColor theme="7" tint="0.79998168889431442"/>
        </patternFill>
      </fill>
    </dxf>
    <dxf>
      <fill>
        <patternFill>
          <bgColor theme="0" tint="-0.499984740745262"/>
        </patternFill>
      </fill>
    </dxf>
    <dxf>
      <font>
        <color auto="1"/>
      </font>
      <fill>
        <patternFill>
          <bgColor rgb="FFFFC7CE"/>
        </patternFill>
      </fill>
    </dxf>
    <dxf>
      <fill>
        <patternFill>
          <bgColor rgb="FFFFDDE1"/>
        </patternFill>
      </fill>
    </dxf>
    <dxf>
      <fill>
        <patternFill>
          <bgColor rgb="FF99CCFF"/>
        </patternFill>
      </fill>
    </dxf>
    <dxf>
      <fill>
        <patternFill>
          <bgColor theme="9" tint="0.59996337778862885"/>
        </patternFill>
      </fill>
    </dxf>
    <dxf>
      <fill>
        <patternFill>
          <bgColor theme="0" tint="-0.499984740745262"/>
        </patternFill>
      </fill>
    </dxf>
    <dxf>
      <font>
        <color rgb="FF9C0006"/>
      </font>
      <fill>
        <patternFill>
          <bgColor theme="7" tint="0.79998168889431442"/>
        </patternFill>
      </fill>
    </dxf>
    <dxf>
      <fill>
        <patternFill>
          <bgColor rgb="FFFFC7CE"/>
        </patternFill>
      </fill>
    </dxf>
    <dxf>
      <fill>
        <patternFill>
          <bgColor theme="0"/>
        </patternFill>
      </fill>
    </dxf>
    <dxf>
      <font>
        <color rgb="FF9C0006"/>
      </font>
      <fill>
        <patternFill>
          <bgColor theme="7" tint="0.79998168889431442"/>
        </patternFill>
      </fill>
    </dxf>
    <dxf>
      <fill>
        <patternFill>
          <bgColor theme="0" tint="-0.499984740745262"/>
        </patternFill>
      </fill>
    </dxf>
    <dxf>
      <font>
        <color auto="1"/>
      </font>
      <fill>
        <patternFill>
          <bgColor rgb="FFFFC7CE"/>
        </patternFill>
      </fill>
    </dxf>
    <dxf>
      <fill>
        <patternFill>
          <bgColor rgb="FFFFDDE1"/>
        </patternFill>
      </fill>
    </dxf>
    <dxf>
      <fill>
        <patternFill>
          <bgColor rgb="FF99CCFF"/>
        </patternFill>
      </fill>
    </dxf>
    <dxf>
      <fill>
        <patternFill>
          <bgColor theme="9" tint="0.59996337778862885"/>
        </patternFill>
      </fill>
    </dxf>
    <dxf>
      <fill>
        <patternFill>
          <bgColor theme="0" tint="-0.499984740745262"/>
        </patternFill>
      </fill>
    </dxf>
    <dxf>
      <font>
        <color rgb="FF9C0006"/>
      </font>
      <fill>
        <patternFill>
          <bgColor theme="7" tint="0.79998168889431442"/>
        </patternFill>
      </fill>
    </dxf>
    <dxf>
      <fill>
        <patternFill>
          <bgColor rgb="FFFFC7CE"/>
        </patternFill>
      </fill>
    </dxf>
    <dxf>
      <fill>
        <patternFill>
          <bgColor theme="0"/>
        </patternFill>
      </fill>
    </dxf>
    <dxf>
      <font>
        <color rgb="FF9C0006"/>
      </font>
      <fill>
        <patternFill>
          <bgColor theme="7" tint="0.79998168889431442"/>
        </patternFill>
      </fill>
    </dxf>
    <dxf>
      <fill>
        <patternFill>
          <bgColor theme="0" tint="-0.499984740745262"/>
        </patternFill>
      </fill>
    </dxf>
    <dxf>
      <font>
        <color auto="1"/>
      </font>
      <fill>
        <patternFill>
          <bgColor rgb="FFFFC7CE"/>
        </patternFill>
      </fill>
    </dxf>
    <dxf>
      <fill>
        <patternFill>
          <bgColor rgb="FFFFDDE1"/>
        </patternFill>
      </fill>
    </dxf>
    <dxf>
      <fill>
        <patternFill>
          <bgColor rgb="FF99CCFF"/>
        </patternFill>
      </fill>
    </dxf>
    <dxf>
      <fill>
        <patternFill>
          <bgColor theme="9" tint="0.59996337778862885"/>
        </patternFill>
      </fill>
    </dxf>
    <dxf>
      <fill>
        <patternFill>
          <bgColor theme="0" tint="-0.499984740745262"/>
        </patternFill>
      </fill>
    </dxf>
    <dxf>
      <font>
        <color rgb="FF9C0006"/>
      </font>
      <fill>
        <patternFill>
          <bgColor theme="7" tint="0.79998168889431442"/>
        </patternFill>
      </fill>
    </dxf>
    <dxf>
      <fill>
        <patternFill>
          <bgColor rgb="FFFFC7CE"/>
        </patternFill>
      </fill>
    </dxf>
    <dxf>
      <fill>
        <patternFill>
          <bgColor theme="0"/>
        </patternFill>
      </fill>
    </dxf>
    <dxf>
      <font>
        <color rgb="FF9C0006"/>
      </font>
      <fill>
        <patternFill>
          <bgColor theme="7" tint="0.79998168889431442"/>
        </patternFill>
      </fill>
    </dxf>
    <dxf>
      <fill>
        <patternFill>
          <bgColor theme="0" tint="-0.499984740745262"/>
        </patternFill>
      </fill>
    </dxf>
    <dxf>
      <font>
        <color auto="1"/>
      </font>
      <fill>
        <patternFill>
          <bgColor rgb="FFFFC7CE"/>
        </patternFill>
      </fill>
    </dxf>
    <dxf>
      <fill>
        <patternFill>
          <bgColor rgb="FFFFDDE1"/>
        </patternFill>
      </fill>
    </dxf>
    <dxf>
      <fill>
        <patternFill>
          <bgColor rgb="FF99CCFF"/>
        </patternFill>
      </fill>
    </dxf>
    <dxf>
      <fill>
        <patternFill>
          <bgColor theme="9" tint="0.59996337778862885"/>
        </patternFill>
      </fill>
    </dxf>
    <dxf>
      <fill>
        <patternFill>
          <bgColor theme="0" tint="-0.499984740745262"/>
        </patternFill>
      </fill>
    </dxf>
    <dxf>
      <font>
        <color rgb="FF9C0006"/>
      </font>
      <fill>
        <patternFill>
          <bgColor theme="7" tint="0.79998168889431442"/>
        </patternFill>
      </fill>
    </dxf>
    <dxf>
      <fill>
        <patternFill>
          <bgColor rgb="FFFFC7CE"/>
        </patternFill>
      </fill>
    </dxf>
    <dxf>
      <fill>
        <patternFill>
          <bgColor theme="0"/>
        </patternFill>
      </fill>
    </dxf>
    <dxf>
      <font>
        <color rgb="FF9C0006"/>
      </font>
      <fill>
        <patternFill>
          <bgColor theme="7" tint="0.79998168889431442"/>
        </patternFill>
      </fill>
    </dxf>
    <dxf>
      <fill>
        <patternFill>
          <bgColor theme="0" tint="-0.499984740745262"/>
        </patternFill>
      </fill>
    </dxf>
    <dxf>
      <font>
        <color auto="1"/>
      </font>
      <fill>
        <patternFill>
          <bgColor rgb="FFFFC7CE"/>
        </patternFill>
      </fill>
    </dxf>
    <dxf>
      <fill>
        <patternFill>
          <bgColor rgb="FFFFDDE1"/>
        </patternFill>
      </fill>
    </dxf>
    <dxf>
      <fill>
        <patternFill>
          <bgColor rgb="FF99CCFF"/>
        </patternFill>
      </fill>
    </dxf>
    <dxf>
      <fill>
        <patternFill>
          <bgColor theme="9" tint="0.59996337778862885"/>
        </patternFill>
      </fill>
    </dxf>
    <dxf>
      <fill>
        <patternFill>
          <bgColor theme="0" tint="-0.499984740745262"/>
        </patternFill>
      </fill>
    </dxf>
    <dxf>
      <font>
        <color rgb="FF9C0006"/>
      </font>
      <fill>
        <patternFill>
          <bgColor theme="7" tint="0.79998168889431442"/>
        </patternFill>
      </fill>
    </dxf>
    <dxf>
      <fill>
        <patternFill>
          <bgColor rgb="FFFFC7CE"/>
        </patternFill>
      </fill>
    </dxf>
    <dxf>
      <fill>
        <patternFill>
          <bgColor theme="0"/>
        </patternFill>
      </fill>
    </dxf>
    <dxf>
      <font>
        <color rgb="FF9C0006"/>
      </font>
      <fill>
        <patternFill>
          <bgColor theme="7" tint="0.79998168889431442"/>
        </patternFill>
      </fill>
    </dxf>
    <dxf>
      <fill>
        <patternFill>
          <bgColor theme="0" tint="-0.499984740745262"/>
        </patternFill>
      </fill>
    </dxf>
    <dxf>
      <font>
        <color auto="1"/>
      </font>
      <fill>
        <patternFill>
          <bgColor rgb="FFFFC7CE"/>
        </patternFill>
      </fill>
    </dxf>
    <dxf>
      <fill>
        <patternFill>
          <bgColor rgb="FFFFDDE1"/>
        </patternFill>
      </fill>
    </dxf>
    <dxf>
      <fill>
        <patternFill>
          <bgColor rgb="FF99CCFF"/>
        </patternFill>
      </fill>
    </dxf>
    <dxf>
      <fill>
        <patternFill>
          <bgColor theme="9" tint="0.59996337778862885"/>
        </patternFill>
      </fill>
    </dxf>
    <dxf>
      <fill>
        <patternFill>
          <bgColor theme="0" tint="-0.499984740745262"/>
        </patternFill>
      </fill>
    </dxf>
    <dxf>
      <font>
        <color rgb="FF9C0006"/>
      </font>
      <fill>
        <patternFill>
          <bgColor theme="7" tint="0.79998168889431442"/>
        </patternFill>
      </fill>
    </dxf>
    <dxf>
      <fill>
        <patternFill>
          <bgColor rgb="FFFFC7CE"/>
        </patternFill>
      </fill>
    </dxf>
    <dxf>
      <fill>
        <patternFill>
          <bgColor theme="0"/>
        </patternFill>
      </fill>
    </dxf>
    <dxf>
      <font>
        <color rgb="FF9C0006"/>
      </font>
      <fill>
        <patternFill>
          <bgColor theme="7" tint="0.79998168889431442"/>
        </patternFill>
      </fill>
    </dxf>
    <dxf>
      <fill>
        <patternFill>
          <bgColor theme="0" tint="-0.499984740745262"/>
        </patternFill>
      </fill>
    </dxf>
    <dxf>
      <font>
        <color auto="1"/>
      </font>
      <fill>
        <patternFill>
          <bgColor rgb="FFFFC7CE"/>
        </patternFill>
      </fill>
    </dxf>
    <dxf>
      <fill>
        <patternFill>
          <bgColor rgb="FFFFDDE1"/>
        </patternFill>
      </fill>
    </dxf>
    <dxf>
      <fill>
        <patternFill>
          <bgColor rgb="FF99CCFF"/>
        </patternFill>
      </fill>
    </dxf>
    <dxf>
      <fill>
        <patternFill>
          <bgColor theme="9" tint="0.59996337778862885"/>
        </patternFill>
      </fill>
    </dxf>
    <dxf>
      <fill>
        <patternFill>
          <bgColor theme="0" tint="-0.499984740745262"/>
        </patternFill>
      </fill>
    </dxf>
    <dxf>
      <font>
        <color rgb="FF9C0006"/>
      </font>
      <fill>
        <patternFill>
          <bgColor theme="7" tint="0.79998168889431442"/>
        </patternFill>
      </fill>
    </dxf>
    <dxf>
      <fill>
        <patternFill>
          <bgColor rgb="FFFFC7CE"/>
        </patternFill>
      </fill>
    </dxf>
    <dxf>
      <fill>
        <patternFill>
          <bgColor theme="0"/>
        </patternFill>
      </fill>
    </dxf>
    <dxf>
      <font>
        <color rgb="FF9C0006"/>
      </font>
      <fill>
        <patternFill>
          <bgColor theme="7" tint="0.79998168889431442"/>
        </patternFill>
      </fill>
    </dxf>
    <dxf>
      <fill>
        <patternFill>
          <bgColor theme="0" tint="-0.499984740745262"/>
        </patternFill>
      </fill>
    </dxf>
    <dxf>
      <font>
        <color auto="1"/>
      </font>
      <fill>
        <patternFill>
          <bgColor rgb="FFFFC7CE"/>
        </patternFill>
      </fill>
    </dxf>
    <dxf>
      <fill>
        <patternFill>
          <bgColor rgb="FFFFDDE1"/>
        </patternFill>
      </fill>
    </dxf>
    <dxf>
      <fill>
        <patternFill>
          <bgColor rgb="FF99CCFF"/>
        </patternFill>
      </fill>
    </dxf>
    <dxf>
      <fill>
        <patternFill>
          <bgColor theme="9" tint="0.59996337778862885"/>
        </patternFill>
      </fill>
    </dxf>
    <dxf>
      <fill>
        <patternFill>
          <bgColor theme="0" tint="-0.499984740745262"/>
        </patternFill>
      </fill>
    </dxf>
    <dxf>
      <font>
        <color rgb="FF9C0006"/>
      </font>
      <fill>
        <patternFill>
          <bgColor theme="7" tint="0.79998168889431442"/>
        </patternFill>
      </fill>
    </dxf>
    <dxf>
      <fill>
        <patternFill>
          <bgColor rgb="FFFFC7CE"/>
        </patternFill>
      </fill>
    </dxf>
    <dxf>
      <fill>
        <patternFill>
          <bgColor theme="0"/>
        </patternFill>
      </fill>
    </dxf>
    <dxf>
      <font>
        <color rgb="FF9C0006"/>
      </font>
      <fill>
        <patternFill>
          <bgColor theme="7" tint="0.79998168889431442"/>
        </patternFill>
      </fill>
    </dxf>
    <dxf>
      <fill>
        <patternFill>
          <bgColor theme="0" tint="-0.499984740745262"/>
        </patternFill>
      </fill>
    </dxf>
    <dxf>
      <font>
        <color auto="1"/>
      </font>
      <fill>
        <patternFill>
          <bgColor rgb="FFFFC7CE"/>
        </patternFill>
      </fill>
    </dxf>
    <dxf>
      <fill>
        <patternFill>
          <bgColor rgb="FFFFDDE1"/>
        </patternFill>
      </fill>
    </dxf>
    <dxf>
      <fill>
        <patternFill>
          <bgColor rgb="FF99CCFF"/>
        </patternFill>
      </fill>
    </dxf>
    <dxf>
      <fill>
        <patternFill>
          <bgColor theme="9" tint="0.59996337778862885"/>
        </patternFill>
      </fill>
    </dxf>
    <dxf>
      <fill>
        <patternFill>
          <bgColor theme="0" tint="-0.499984740745262"/>
        </patternFill>
      </fill>
    </dxf>
    <dxf>
      <font>
        <color rgb="FF9C0006"/>
      </font>
      <fill>
        <patternFill>
          <bgColor theme="7" tint="0.79998168889431442"/>
        </patternFill>
      </fill>
    </dxf>
    <dxf>
      <fill>
        <patternFill>
          <bgColor rgb="FFFFC7CE"/>
        </patternFill>
      </fill>
    </dxf>
    <dxf>
      <fill>
        <patternFill>
          <bgColor theme="0"/>
        </patternFill>
      </fill>
    </dxf>
    <dxf>
      <font>
        <color rgb="FF9C0006"/>
      </font>
      <fill>
        <patternFill>
          <bgColor theme="7" tint="0.79998168889431442"/>
        </patternFill>
      </fill>
    </dxf>
    <dxf>
      <fill>
        <patternFill>
          <bgColor theme="0" tint="-0.499984740745262"/>
        </patternFill>
      </fill>
    </dxf>
    <dxf>
      <font>
        <color auto="1"/>
      </font>
      <fill>
        <patternFill>
          <bgColor rgb="FFFFC7CE"/>
        </patternFill>
      </fill>
    </dxf>
    <dxf>
      <fill>
        <patternFill>
          <bgColor rgb="FFFFDDE1"/>
        </patternFill>
      </fill>
    </dxf>
    <dxf>
      <fill>
        <patternFill>
          <bgColor rgb="FF99CCFF"/>
        </patternFill>
      </fill>
    </dxf>
    <dxf>
      <fill>
        <patternFill>
          <bgColor theme="9" tint="0.59996337778862885"/>
        </patternFill>
      </fill>
    </dxf>
    <dxf>
      <fill>
        <patternFill>
          <bgColor theme="0" tint="-0.499984740745262"/>
        </patternFill>
      </fill>
    </dxf>
    <dxf>
      <font>
        <b/>
        <i val="0"/>
        <color theme="9"/>
      </font>
    </dxf>
    <dxf>
      <font>
        <b/>
        <i val="0"/>
        <color theme="9"/>
      </font>
    </dxf>
    <dxf>
      <font>
        <b/>
        <i val="0"/>
        <color theme="9"/>
      </font>
    </dxf>
    <dxf>
      <font>
        <b/>
        <i val="0"/>
        <color theme="9"/>
      </font>
    </dxf>
    <dxf>
      <font>
        <b/>
        <i val="0"/>
        <color rgb="FFFF0000"/>
      </font>
    </dxf>
    <dxf>
      <font>
        <b/>
        <i val="0"/>
        <color rgb="FFFF0000"/>
      </font>
    </dxf>
    <dxf>
      <font>
        <b/>
        <i val="0"/>
        <color theme="9"/>
      </font>
    </dxf>
    <dxf>
      <font>
        <b/>
        <i val="0"/>
        <color theme="9"/>
      </font>
    </dxf>
    <dxf>
      <font>
        <b/>
        <i val="0"/>
        <color rgb="FFFF0000"/>
      </font>
    </dxf>
    <dxf>
      <font>
        <b/>
        <i val="0"/>
        <color rgb="FFFF0000"/>
      </font>
    </dxf>
    <dxf>
      <font>
        <b/>
        <i val="0"/>
        <color rgb="FFFF0000"/>
      </font>
    </dxf>
    <dxf>
      <font>
        <b/>
        <i val="0"/>
        <color theme="9"/>
      </font>
    </dxf>
    <dxf>
      <font>
        <b/>
        <i val="0"/>
        <color rgb="FFFF0000"/>
      </font>
    </dxf>
    <dxf>
      <font>
        <b/>
        <i val="0"/>
        <color theme="9"/>
      </font>
    </dxf>
    <dxf>
      <font>
        <b val="0"/>
        <i val="0"/>
        <color rgb="FFFF0000"/>
      </font>
    </dxf>
    <dxf>
      <font>
        <strike val="0"/>
        <color rgb="FFFF0000"/>
      </font>
    </dxf>
    <dxf>
      <font>
        <b/>
        <i val="0"/>
        <color rgb="FFFF0000"/>
      </font>
    </dxf>
    <dxf>
      <font>
        <b/>
        <i val="0"/>
        <color rgb="FFFF0000"/>
      </font>
    </dxf>
    <dxf>
      <font>
        <b/>
        <i val="0"/>
        <color theme="9"/>
      </font>
    </dxf>
    <dxf>
      <font>
        <b/>
        <i val="0"/>
        <color theme="9"/>
      </font>
    </dxf>
    <dxf>
      <font>
        <b/>
        <i val="0"/>
        <color rgb="FFFF0000"/>
      </font>
    </dxf>
    <dxf>
      <font>
        <b/>
        <i val="0"/>
        <color theme="9"/>
      </font>
    </dxf>
    <dxf>
      <font>
        <b/>
        <i val="0"/>
        <color rgb="FFFF0000"/>
      </font>
    </dxf>
    <dxf>
      <font>
        <color rgb="FFFF0000"/>
      </font>
    </dxf>
    <dxf>
      <font>
        <color theme="9"/>
      </font>
    </dxf>
    <dxf>
      <font>
        <b/>
        <i val="0"/>
      </font>
    </dxf>
    <dxf>
      <font>
        <b/>
        <i val="0"/>
      </font>
    </dxf>
  </dxfs>
  <tableStyles count="0" defaultTableStyle="TableStyleMedium2" defaultPivotStyle="PivotStyleLight16"/>
  <colors>
    <mruColors>
      <color rgb="FFCC0000"/>
      <color rgb="FFEFDB47"/>
      <color rgb="FFECF4FA"/>
      <color rgb="FFE7F1F9"/>
      <color rgb="FFE0D056"/>
      <color rgb="FFF3CFFD"/>
      <color rgb="FFDEDA88"/>
      <color rgb="FFFFFFFF"/>
      <color rgb="FFC89800"/>
      <color rgb="FFCC9B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a:solidFill>
                  <a:schemeClr val="bg2">
                    <a:lumMod val="25000"/>
                  </a:schemeClr>
                </a:solidFill>
              </a:rPr>
              <a:t>Höhe der Zahlungsänderung ohne AUKM/AGZ/Natura auf Betriebsebene mit Bezug auf die Zahlungshöhe</a:t>
            </a:r>
            <a:r>
              <a:rPr lang="de-DE" sz="1400" baseline="0">
                <a:solidFill>
                  <a:schemeClr val="bg2">
                    <a:lumMod val="25000"/>
                  </a:schemeClr>
                </a:solidFill>
              </a:rPr>
              <a:t> in </a:t>
            </a:r>
            <a:r>
              <a:rPr lang="de-DE" sz="1400">
                <a:solidFill>
                  <a:schemeClr val="bg2">
                    <a:lumMod val="25000"/>
                  </a:schemeClr>
                </a:solidFill>
              </a:rPr>
              <a:t>2021, €/ Betrieb</a:t>
            </a:r>
          </a:p>
        </c:rich>
      </c:tx>
      <c:layout>
        <c:manualLayout>
          <c:xMode val="edge"/>
          <c:yMode val="edge"/>
          <c:x val="0.10881233595800527"/>
          <c:y val="2.4353116351967088E-2"/>
        </c:manualLayout>
      </c:layout>
      <c:overlay val="0"/>
      <c:spPr>
        <a:noFill/>
        <a:ln>
          <a:noFill/>
        </a:ln>
        <a:effectLst/>
      </c:spPr>
    </c:title>
    <c:autoTitleDeleted val="0"/>
    <c:plotArea>
      <c:layout/>
      <c:barChart>
        <c:barDir val="col"/>
        <c:grouping val="clustered"/>
        <c:varyColors val="0"/>
        <c:ser>
          <c:idx val="0"/>
          <c:order val="0"/>
          <c:tx>
            <c:v>Differenz</c:v>
          </c:tx>
          <c:spPr>
            <a:solidFill>
              <a:schemeClr val="accent1"/>
            </a:solidFill>
            <a:ln>
              <a:noFill/>
            </a:ln>
            <a:effectLst/>
          </c:spPr>
          <c:invertIfNegative val="0"/>
          <c:cat>
            <c:numRef>
              <c:f>Ergebnisse!$B$52:$F$52</c:f>
              <c:numCache>
                <c:formatCode>General</c:formatCode>
                <c:ptCount val="5"/>
                <c:pt idx="0">
                  <c:v>2022</c:v>
                </c:pt>
                <c:pt idx="1">
                  <c:v>2023</c:v>
                </c:pt>
                <c:pt idx="2">
                  <c:v>2024</c:v>
                </c:pt>
                <c:pt idx="3">
                  <c:v>2025</c:v>
                </c:pt>
                <c:pt idx="4">
                  <c:v>2026</c:v>
                </c:pt>
              </c:numCache>
            </c:numRef>
          </c:cat>
          <c:val>
            <c:numRef>
              <c:f>Ergebnisse!$B$53:$F$53</c:f>
              <c:numCache>
                <c:formatCode>_-* #,##0\ "€"_-;\-* #,##0\ "€"_-;_-* "-"??\ "€"_-;_-@_-</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219"/>
        <c:overlap val="-27"/>
        <c:axId val="442997368"/>
        <c:axId val="443597984"/>
      </c:barChart>
      <c:catAx>
        <c:axId val="442997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crossAx val="443597984"/>
        <c:crosses val="autoZero"/>
        <c:auto val="1"/>
        <c:lblAlgn val="ctr"/>
        <c:lblOffset val="100"/>
        <c:noMultiLvlLbl val="0"/>
      </c:catAx>
      <c:valAx>
        <c:axId val="443597984"/>
        <c:scaling>
          <c:orientation val="minMax"/>
        </c:scaling>
        <c:delete val="0"/>
        <c:axPos val="l"/>
        <c:majorGridlines>
          <c:spPr>
            <a:ln w="9525" cap="flat" cmpd="sng" algn="ctr">
              <a:solidFill>
                <a:schemeClr val="tx1">
                  <a:lumMod val="15000"/>
                  <a:lumOff val="85000"/>
                </a:schemeClr>
              </a:solidFill>
              <a:round/>
            </a:ln>
            <a:effectLst/>
          </c:spPr>
        </c:majorGridlines>
        <c:numFmt formatCode="#,##0\ &quot;€&quot;"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e-DE"/>
          </a:p>
        </c:txPr>
        <c:crossAx val="44299736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mn-lt"/>
                <a:ea typeface="+mn-ea"/>
                <a:cs typeface="+mn-cs"/>
              </a:defRPr>
            </a:pPr>
            <a:endParaRPr lang="de-DE"/>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pPr>
      <a:endParaRPr lang="de-DE"/>
    </a:p>
  </c:txPr>
  <c:printSettings>
    <c:headerFooter/>
    <c:pageMargins b="0.78740157499999996" l="0.70000000000000062" r="0.70000000000000062" t="0.7874015749999999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0" i="0" baseline="0">
                <a:effectLst/>
              </a:rPr>
              <a:t>Höhe der Förderungsänderung ohne AUKM je Hektar mit Bezug auf 2021,  </a:t>
            </a:r>
            <a:endParaRPr lang="de-DE" sz="1400">
              <a:effectLst/>
            </a:endParaRPr>
          </a:p>
        </c:rich>
      </c:tx>
      <c:layout>
        <c:manualLayout>
          <c:xMode val="edge"/>
          <c:yMode val="edge"/>
          <c:x val="0.11795044144630963"/>
          <c:y val="2.0990998250061465E-2"/>
        </c:manualLayout>
      </c:layout>
      <c:overlay val="0"/>
      <c:spPr>
        <a:noFill/>
        <a:ln>
          <a:noFill/>
        </a:ln>
        <a:effectLst/>
      </c:spPr>
    </c:title>
    <c:autoTitleDeleted val="0"/>
    <c:plotArea>
      <c:layout/>
      <c:barChart>
        <c:barDir val="col"/>
        <c:grouping val="clustered"/>
        <c:varyColors val="0"/>
        <c:ser>
          <c:idx val="0"/>
          <c:order val="0"/>
          <c:tx>
            <c:v>Differenz</c:v>
          </c:tx>
          <c:spPr>
            <a:solidFill>
              <a:schemeClr val="accent1"/>
            </a:solidFill>
            <a:ln>
              <a:noFill/>
            </a:ln>
            <a:effectLst/>
          </c:spPr>
          <c:invertIfNegative val="0"/>
          <c:cat>
            <c:numRef>
              <c:f>Ergebnisse!$C$73:$G$73</c:f>
              <c:numCache>
                <c:formatCode>General</c:formatCode>
                <c:ptCount val="5"/>
                <c:pt idx="0">
                  <c:v>2022</c:v>
                </c:pt>
                <c:pt idx="1">
                  <c:v>2023</c:v>
                </c:pt>
                <c:pt idx="2">
                  <c:v>2024</c:v>
                </c:pt>
                <c:pt idx="3">
                  <c:v>2025</c:v>
                </c:pt>
                <c:pt idx="4">
                  <c:v>2026</c:v>
                </c:pt>
              </c:numCache>
            </c:numRef>
          </c:cat>
          <c:val>
            <c:numRef>
              <c:f>Ergebnisse!$C$74:$G$74</c:f>
              <c:numCache>
                <c:formatCode>_-* #,##0\ "€"_-;\-* #,##0\ "€"_-;_-* "-"??\ "€"_-;_-@_-</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219"/>
        <c:overlap val="-27"/>
        <c:axId val="444079688"/>
        <c:axId val="444080072"/>
      </c:barChart>
      <c:catAx>
        <c:axId val="444079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44080072"/>
        <c:crosses val="autoZero"/>
        <c:auto val="1"/>
        <c:lblAlgn val="ctr"/>
        <c:lblOffset val="100"/>
        <c:noMultiLvlLbl val="0"/>
      </c:catAx>
      <c:valAx>
        <c:axId val="444080072"/>
        <c:scaling>
          <c:orientation val="minMax"/>
        </c:scaling>
        <c:delete val="0"/>
        <c:axPos val="l"/>
        <c:majorGridlines>
          <c:spPr>
            <a:ln w="9525" cap="flat" cmpd="sng" algn="ctr">
              <a:solidFill>
                <a:schemeClr val="tx1">
                  <a:lumMod val="15000"/>
                  <a:lumOff val="85000"/>
                </a:schemeClr>
              </a:solidFill>
              <a:round/>
            </a:ln>
            <a:effectLst/>
          </c:spPr>
        </c:majorGridlines>
        <c:numFmt formatCode="#,##0\ &quot;€&quot;"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e-DE"/>
          </a:p>
        </c:txPr>
        <c:crossAx val="44407968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mn-lt"/>
                <a:ea typeface="+mn-ea"/>
                <a:cs typeface="+mn-cs"/>
              </a:defRPr>
            </a:pPr>
            <a:endParaRPr lang="de-DE"/>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r>
              <a:rPr lang="de-DE"/>
              <a:t>Zusammensetzung der Zahlungen in 2023 in %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a:noFill/>
              </a:ln>
              <a:effectLst>
                <a:outerShdw blurRad="317500" algn="ctr" rotWithShape="0">
                  <a:prstClr val="black">
                    <a:alpha val="25000"/>
                  </a:prstClr>
                </a:outerShdw>
              </a:effectLst>
            </c:spPr>
          </c:dPt>
          <c:dPt>
            <c:idx val="1"/>
            <c:bubble3D val="0"/>
            <c:spPr>
              <a:solidFill>
                <a:schemeClr val="accent2"/>
              </a:solidFill>
              <a:ln>
                <a:noFill/>
              </a:ln>
              <a:effectLst>
                <a:outerShdw blurRad="317500" algn="ctr" rotWithShape="0">
                  <a:prstClr val="black">
                    <a:alpha val="25000"/>
                  </a:prstClr>
                </a:outerShdw>
              </a:effectLst>
            </c:spPr>
          </c:dPt>
          <c:dPt>
            <c:idx val="2"/>
            <c:bubble3D val="0"/>
            <c:spPr>
              <a:solidFill>
                <a:schemeClr val="accent3"/>
              </a:solidFill>
              <a:ln>
                <a:noFill/>
              </a:ln>
              <a:effectLst>
                <a:outerShdw blurRad="317500" algn="ctr" rotWithShape="0">
                  <a:prstClr val="black">
                    <a:alpha val="25000"/>
                  </a:prstClr>
                </a:outerShdw>
              </a:effectLst>
            </c:spPr>
          </c:dPt>
          <c:dPt>
            <c:idx val="3"/>
            <c:bubble3D val="0"/>
            <c:spPr>
              <a:solidFill>
                <a:schemeClr val="accent4"/>
              </a:solidFill>
              <a:ln>
                <a:noFill/>
              </a:ln>
              <a:effectLst>
                <a:outerShdw blurRad="317500" algn="ctr" rotWithShape="0">
                  <a:prstClr val="black">
                    <a:alpha val="25000"/>
                  </a:prstClr>
                </a:outerShdw>
              </a:effectLst>
            </c:spPr>
          </c:dPt>
          <c:dPt>
            <c:idx val="4"/>
            <c:bubble3D val="0"/>
            <c:spPr>
              <a:solidFill>
                <a:schemeClr val="accent5"/>
              </a:solidFill>
              <a:ln>
                <a:noFill/>
              </a:ln>
              <a:effectLst>
                <a:outerShdw blurRad="317500" algn="ctr" rotWithShape="0">
                  <a:prstClr val="black">
                    <a:alpha val="25000"/>
                  </a:prstClr>
                </a:outerShdw>
              </a:effectLst>
            </c:spPr>
          </c:dPt>
          <c:dPt>
            <c:idx val="5"/>
            <c:bubble3D val="0"/>
            <c:spPr>
              <a:solidFill>
                <a:schemeClr val="accent6"/>
              </a:solidFill>
              <a:ln>
                <a:noFill/>
              </a:ln>
              <a:effectLst>
                <a:outerShdw blurRad="317500" algn="ctr" rotWithShape="0">
                  <a:prstClr val="black">
                    <a:alpha val="25000"/>
                  </a:prstClr>
                </a:outerShdw>
              </a:effectLst>
            </c:spPr>
          </c:dPt>
          <c:dPt>
            <c:idx val="6"/>
            <c:bubble3D val="0"/>
            <c:spPr>
              <a:solidFill>
                <a:schemeClr val="accent1">
                  <a:lumMod val="60000"/>
                </a:schemeClr>
              </a:solidFill>
              <a:ln>
                <a:noFill/>
              </a:ln>
              <a:effectLst>
                <a:outerShdw blurRad="317500" algn="ctr" rotWithShape="0">
                  <a:prstClr val="black">
                    <a:alpha val="25000"/>
                  </a:prstClr>
                </a:outerShdw>
              </a:effectLst>
            </c:spPr>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de-DE"/>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Ergebnisse!$C$82:$C$89</c15:sqref>
                  </c15:fullRef>
                </c:ext>
              </c:extLst>
              <c:f>Ergebnisse!$C$82:$C$88</c:f>
              <c:strCache>
                <c:ptCount val="7"/>
                <c:pt idx="0">
                  <c:v>Einkommensstützung</c:v>
                </c:pt>
                <c:pt idx="1">
                  <c:v>gek. Zahlung f. Muttertiere</c:v>
                </c:pt>
                <c:pt idx="2">
                  <c:v>JL-Einkommensstützung</c:v>
                </c:pt>
                <c:pt idx="3">
                  <c:v>ÖR-Unterstützung</c:v>
                </c:pt>
                <c:pt idx="4">
                  <c:v>MSUL </c:v>
                </c:pt>
                <c:pt idx="5">
                  <c:v>FNL</c:v>
                </c:pt>
                <c:pt idx="6">
                  <c:v>AGZ/ Natura</c:v>
                </c:pt>
              </c:strCache>
            </c:strRef>
          </c:cat>
          <c:val>
            <c:numRef>
              <c:extLst>
                <c:ext xmlns:c15="http://schemas.microsoft.com/office/drawing/2012/chart" uri="{02D57815-91ED-43cb-92C2-25804820EDAC}">
                  <c15:fullRef>
                    <c15:sqref>Ergebnisse!$D$82:$D$89</c15:sqref>
                  </c15:fullRef>
                </c:ext>
              </c:extLst>
              <c:f>Ergebnisse!$D$82:$D$88</c:f>
              <c:numCache>
                <c:formatCode>0.0%</c:formatCode>
                <c:ptCount val="7"/>
                <c:pt idx="0">
                  <c:v>0</c:v>
                </c:pt>
                <c:pt idx="1">
                  <c:v>0</c:v>
                </c:pt>
                <c:pt idx="2">
                  <c:v>0</c:v>
                </c:pt>
                <c:pt idx="3">
                  <c:v>0</c:v>
                </c:pt>
                <c:pt idx="4">
                  <c:v>0</c:v>
                </c:pt>
                <c:pt idx="5">
                  <c:v>0</c:v>
                </c:pt>
                <c:pt idx="6" formatCode="General">
                  <c:v>0</c:v>
                </c:pt>
              </c:numCache>
            </c:numRef>
          </c:val>
          <c:extLst>
            <c:ext xmlns:c15="http://schemas.microsoft.com/office/drawing/2012/chart" uri="{02D57815-91ED-43cb-92C2-25804820EDAC}">
              <c15:categoryFilterExceptions>
                <c15:categoryFilterException>
                  <c15:sqref>Ergebnisse!$D$89</c15:sqref>
                  <c15:spPr xmlns:c15="http://schemas.microsoft.com/office/drawing/2012/chart">
                    <a:solidFill>
                      <a:schemeClr val="accent2">
                        <a:lumMod val="60000"/>
                      </a:schemeClr>
                    </a:solidFill>
                    <a:ln>
                      <a:noFill/>
                    </a:ln>
                    <a:effectLst>
                      <a:outerShdw blurRad="317500" algn="ctr" rotWithShape="0">
                        <a:prstClr val="black">
                          <a:alpha val="25000"/>
                        </a:prstClr>
                      </a:outerShdw>
                    </a:effectLst>
                  </c15:spPr>
                  <c15:bubble3D val="0"/>
                </c15:categoryFilterException>
              </c15:categoryFilterExceptions>
            </c:ext>
          </c:extLst>
        </c:ser>
        <c:dLbls>
          <c:showLegendKey val="0"/>
          <c:showVal val="0"/>
          <c:showCatName val="0"/>
          <c:showSerName val="0"/>
          <c:showPercent val="1"/>
          <c:showBubbleSize val="0"/>
          <c:showLeaderLines val="1"/>
        </c:dLbls>
        <c:firstSliceAng val="0"/>
      </c:pie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e-DE"/>
        </a:p>
      </c:txPr>
    </c:legend>
    <c:plotVisOnly val="1"/>
    <c:dispBlanksAs val="zero"/>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de-DE"/>
    </a:p>
  </c:txPr>
  <c:printSettings>
    <c:headerFooter/>
    <c:pageMargins b="0.78740157499999996" l="0.70000000000000029" r="0.70000000000000029" t="0.78740157499999996" header="0.30000000000000016" footer="0.30000000000000016"/>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747346</xdr:colOff>
      <xdr:row>4</xdr:row>
      <xdr:rowOff>0</xdr:rowOff>
    </xdr:from>
    <xdr:to>
      <xdr:col>14</xdr:col>
      <xdr:colOff>0</xdr:colOff>
      <xdr:row>7</xdr:row>
      <xdr:rowOff>168520</xdr:rowOff>
    </xdr:to>
    <xdr:pic>
      <xdr:nvPicPr>
        <xdr:cNvPr id="5" name="Grafik 4" descr="LLG4c.jpg"/>
        <xdr:cNvPicPr>
          <a:picLocks/>
        </xdr:cNvPicPr>
      </xdr:nvPicPr>
      <xdr:blipFill>
        <a:blip xmlns:r="http://schemas.openxmlformats.org/officeDocument/2006/relationships" r:embed="rId1" cstate="print"/>
        <a:stretch>
          <a:fillRect/>
        </a:stretch>
      </xdr:blipFill>
      <xdr:spPr>
        <a:xfrm>
          <a:off x="10646019" y="769327"/>
          <a:ext cx="732693" cy="7913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644769</xdr:colOff>
      <xdr:row>1</xdr:row>
      <xdr:rowOff>7326</xdr:rowOff>
    </xdr:from>
    <xdr:to>
      <xdr:col>14</xdr:col>
      <xdr:colOff>14654</xdr:colOff>
      <xdr:row>4</xdr:row>
      <xdr:rowOff>190499</xdr:rowOff>
    </xdr:to>
    <xdr:pic>
      <xdr:nvPicPr>
        <xdr:cNvPr id="3" name="Grafik 2" descr="LLG4c.jpg"/>
        <xdr:cNvPicPr>
          <a:picLocks/>
        </xdr:cNvPicPr>
      </xdr:nvPicPr>
      <xdr:blipFill>
        <a:blip xmlns:r="http://schemas.openxmlformats.org/officeDocument/2006/relationships" r:embed="rId1" cstate="print"/>
        <a:stretch>
          <a:fillRect/>
        </a:stretch>
      </xdr:blipFill>
      <xdr:spPr>
        <a:xfrm>
          <a:off x="10155115" y="205153"/>
          <a:ext cx="776654" cy="8059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0</xdr:colOff>
      <xdr:row>0</xdr:row>
      <xdr:rowOff>0</xdr:rowOff>
    </xdr:from>
    <xdr:to>
      <xdr:col>14</xdr:col>
      <xdr:colOff>7326</xdr:colOff>
      <xdr:row>3</xdr:row>
      <xdr:rowOff>175847</xdr:rowOff>
    </xdr:to>
    <xdr:pic>
      <xdr:nvPicPr>
        <xdr:cNvPr id="4" name="Grafik 3" descr="LLG4c.jpg"/>
        <xdr:cNvPicPr>
          <a:picLocks/>
        </xdr:cNvPicPr>
      </xdr:nvPicPr>
      <xdr:blipFill>
        <a:blip xmlns:r="http://schemas.openxmlformats.org/officeDocument/2006/relationships" r:embed="rId1" cstate="print"/>
        <a:stretch>
          <a:fillRect/>
        </a:stretch>
      </xdr:blipFill>
      <xdr:spPr>
        <a:xfrm>
          <a:off x="11950212" y="0"/>
          <a:ext cx="769326" cy="79863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51288</xdr:colOff>
      <xdr:row>38</xdr:row>
      <xdr:rowOff>70340</xdr:rowOff>
    </xdr:from>
    <xdr:to>
      <xdr:col>6</xdr:col>
      <xdr:colOff>838934</xdr:colOff>
      <xdr:row>57</xdr:row>
      <xdr:rowOff>113202</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65944</xdr:colOff>
      <xdr:row>62</xdr:row>
      <xdr:rowOff>58614</xdr:rowOff>
    </xdr:from>
    <xdr:to>
      <xdr:col>6</xdr:col>
      <xdr:colOff>915865</xdr:colOff>
      <xdr:row>74</xdr:row>
      <xdr:rowOff>185372</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175844</xdr:colOff>
      <xdr:row>75</xdr:row>
      <xdr:rowOff>43961</xdr:rowOff>
    </xdr:from>
    <xdr:to>
      <xdr:col>6</xdr:col>
      <xdr:colOff>791307</xdr:colOff>
      <xdr:row>93</xdr:row>
      <xdr:rowOff>117229</xdr:rowOff>
    </xdr:to>
    <xdr:graphicFrame macro="">
      <xdr:nvGraphicFramePr>
        <xdr:cNvPr id="6" name="Diagramm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329712</xdr:colOff>
      <xdr:row>62</xdr:row>
      <xdr:rowOff>87922</xdr:rowOff>
    </xdr:from>
    <xdr:to>
      <xdr:col>6</xdr:col>
      <xdr:colOff>893884</xdr:colOff>
      <xdr:row>63</xdr:row>
      <xdr:rowOff>190499</xdr:rowOff>
    </xdr:to>
    <xdr:sp macro="" textlink="">
      <xdr:nvSpPr>
        <xdr:cNvPr id="4" name="Textfeld 3"/>
        <xdr:cNvSpPr txBox="1"/>
      </xdr:nvSpPr>
      <xdr:spPr>
        <a:xfrm>
          <a:off x="1091712" y="12485076"/>
          <a:ext cx="6542941" cy="3004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de-DE" sz="1200" b="0" i="0" baseline="0">
              <a:solidFill>
                <a:schemeClr val="bg2">
                  <a:lumMod val="25000"/>
                </a:schemeClr>
              </a:solidFill>
              <a:effectLst/>
              <a:latin typeface="+mn-lt"/>
              <a:ea typeface="+mn-ea"/>
              <a:cs typeface="+mn-cs"/>
            </a:rPr>
            <a:t>Höhe der Zahlungsänderung ohne </a:t>
          </a:r>
          <a:r>
            <a:rPr lang="de-DE" sz="1200" b="0" i="0" baseline="0">
              <a:solidFill>
                <a:sysClr val="windowText" lastClr="000000"/>
              </a:solidFill>
              <a:effectLst/>
              <a:latin typeface="+mn-lt"/>
              <a:ea typeface="+mn-ea"/>
              <a:cs typeface="+mn-cs"/>
            </a:rPr>
            <a:t>AUKM/AGZ/Natura</a:t>
          </a:r>
          <a:r>
            <a:rPr lang="de-DE" sz="1200" b="0" i="0" baseline="0">
              <a:solidFill>
                <a:srgbClr val="FF0000"/>
              </a:solidFill>
              <a:effectLst/>
              <a:latin typeface="+mn-lt"/>
              <a:ea typeface="+mn-ea"/>
              <a:cs typeface="+mn-cs"/>
            </a:rPr>
            <a:t> </a:t>
          </a:r>
          <a:r>
            <a:rPr lang="de-DE" sz="1200" b="0" i="0" baseline="0">
              <a:solidFill>
                <a:schemeClr val="bg2">
                  <a:lumMod val="25000"/>
                </a:schemeClr>
              </a:solidFill>
              <a:effectLst/>
              <a:latin typeface="+mn-lt"/>
              <a:ea typeface="+mn-ea"/>
              <a:cs typeface="+mn-cs"/>
            </a:rPr>
            <a:t>je Hektar mit Bezug auf 2021,  €/ Hektar LF</a:t>
          </a:r>
          <a:endParaRPr lang="de-DE" sz="1200">
            <a:solidFill>
              <a:schemeClr val="bg2">
                <a:lumMod val="25000"/>
              </a:schemeClr>
            </a:solidFill>
            <a:effectLst/>
          </a:endParaRPr>
        </a:p>
        <a:p>
          <a:endParaRPr lang="de-DE" sz="1050"/>
        </a:p>
      </xdr:txBody>
    </xdr:sp>
    <xdr:clientData/>
  </xdr:twoCellAnchor>
  <xdr:twoCellAnchor editAs="oneCell">
    <xdr:from>
      <xdr:col>6</xdr:col>
      <xdr:colOff>410307</xdr:colOff>
      <xdr:row>2</xdr:row>
      <xdr:rowOff>0</xdr:rowOff>
    </xdr:from>
    <xdr:to>
      <xdr:col>7</xdr:col>
      <xdr:colOff>574441</xdr:colOff>
      <xdr:row>6</xdr:row>
      <xdr:rowOff>215423</xdr:rowOff>
    </xdr:to>
    <xdr:pic>
      <xdr:nvPicPr>
        <xdr:cNvPr id="7" name="Grafik 6" descr="LLG4c.jpg"/>
        <xdr:cNvPicPr>
          <a:picLocks noChangeAspect="1"/>
        </xdr:cNvPicPr>
      </xdr:nvPicPr>
      <xdr:blipFill>
        <a:blip xmlns:r="http://schemas.openxmlformats.org/officeDocument/2006/relationships" r:embed="rId4" cstate="print"/>
        <a:stretch>
          <a:fillRect/>
        </a:stretch>
      </xdr:blipFill>
      <xdr:spPr>
        <a:xfrm>
          <a:off x="7151076" y="388327"/>
          <a:ext cx="1080000" cy="108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bmel.de/SharedDocs/FAQs/DE/faq-gap-strategieplan/FAQ-gap-strategieplan_List.html" TargetMode="External"/><Relationship Id="rId3" Type="http://schemas.openxmlformats.org/officeDocument/2006/relationships/hyperlink" Target="https://www.bmel.de/SharedDocs/Gesetzestexte/DE/GAPKondV.html" TargetMode="External"/><Relationship Id="rId7" Type="http://schemas.openxmlformats.org/officeDocument/2006/relationships/hyperlink" Target="https://www.bmel.de/SharedDocs/Gesetzestexte/DE/gap-ausnahmen-verordnung.html" TargetMode="External"/><Relationship Id="rId2" Type="http://schemas.openxmlformats.org/officeDocument/2006/relationships/hyperlink" Target="https://www.bmel.de/SharedDocs/Gesetzestexte/DE/GAPDZV.html" TargetMode="External"/><Relationship Id="rId1" Type="http://schemas.openxmlformats.org/officeDocument/2006/relationships/hyperlink" Target="https://www.inet17.sachsen-anhalt.de/webClient_ST_P/public?disposition=inline&amp;resource=infoinet.htm" TargetMode="External"/><Relationship Id="rId6" Type="http://schemas.openxmlformats.org/officeDocument/2006/relationships/hyperlink" Target="https://www.bmel.de/SharedDocs/Gesetzestexte/DE/gapdzg.html" TargetMode="External"/><Relationship Id="rId11" Type="http://schemas.openxmlformats.org/officeDocument/2006/relationships/drawing" Target="../drawings/drawing1.xml"/><Relationship Id="rId5" Type="http://schemas.openxmlformats.org/officeDocument/2006/relationships/hyperlink" Target="https://www.inet17.sachsen-anhalt.de/webClient_ST_P/public?disposition=inline&amp;resource=ST22_Infos_5_2022.pdf" TargetMode="External"/><Relationship Id="rId10" Type="http://schemas.openxmlformats.org/officeDocument/2006/relationships/printerSettings" Target="../printerSettings/printerSettings1.bin"/><Relationship Id="rId4" Type="http://schemas.openxmlformats.org/officeDocument/2006/relationships/hyperlink" Target="https://www.bmel.de/SharedDocs/Gesetzestexte/DE/GAPKondG.html" TargetMode="External"/><Relationship Id="rId9" Type="http://schemas.openxmlformats.org/officeDocument/2006/relationships/hyperlink" Target="https://mwl.sachsen-anhalt.de/landwirtschaft/landwirtschaft-in-sachsen-anhalt/elektronischer-agrarantra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P108"/>
  <sheetViews>
    <sheetView tabSelected="1" topLeftCell="A19" zoomScale="130" zoomScaleNormal="130" workbookViewId="0">
      <selection activeCell="M107" sqref="M107"/>
    </sheetView>
  </sheetViews>
  <sheetFormatPr baseColWidth="10" defaultRowHeight="15" x14ac:dyDescent="0.25"/>
  <cols>
    <col min="1" max="1" width="22.7109375" style="51" customWidth="1"/>
    <col min="2" max="13" width="11.42578125" style="51"/>
    <col min="14" max="14" width="10.7109375" style="51" customWidth="1"/>
    <col min="15" max="15" width="11.42578125" style="51"/>
    <col min="16" max="16" width="22.7109375" style="51" customWidth="1"/>
    <col min="17" max="68" width="11.42578125" style="51"/>
  </cols>
  <sheetData>
    <row r="4" spans="2:15" ht="15.75" thickBot="1" x14ac:dyDescent="0.3"/>
    <row r="5" spans="2:15" ht="15" customHeight="1" x14ac:dyDescent="0.25">
      <c r="B5" s="378"/>
      <c r="C5" s="106"/>
      <c r="D5" s="106"/>
      <c r="E5" s="106"/>
      <c r="F5" s="106"/>
      <c r="G5" s="106"/>
      <c r="H5" s="106"/>
      <c r="I5" s="106"/>
      <c r="J5" s="106"/>
      <c r="K5" s="106"/>
      <c r="L5" s="106"/>
      <c r="M5" s="106"/>
      <c r="N5" s="106"/>
      <c r="O5" s="107"/>
    </row>
    <row r="6" spans="2:15" ht="15" customHeight="1" x14ac:dyDescent="0.25">
      <c r="B6" s="108"/>
      <c r="C6" s="109"/>
      <c r="D6" s="109"/>
      <c r="E6" s="109"/>
      <c r="F6" s="109"/>
      <c r="G6" s="109"/>
      <c r="H6" s="109"/>
      <c r="I6" s="109"/>
      <c r="J6" s="109"/>
      <c r="K6" s="109"/>
      <c r="L6" s="109"/>
      <c r="M6" s="109"/>
      <c r="N6" s="109"/>
      <c r="O6" s="110"/>
    </row>
    <row r="7" spans="2:15" ht="18.75" customHeight="1" x14ac:dyDescent="0.25">
      <c r="B7" s="108"/>
      <c r="C7" s="109"/>
      <c r="D7" s="572" t="s">
        <v>342</v>
      </c>
      <c r="E7" s="572"/>
      <c r="F7" s="572"/>
      <c r="G7" s="572"/>
      <c r="H7" s="572"/>
      <c r="I7" s="572"/>
      <c r="J7" s="572"/>
      <c r="K7" s="572"/>
      <c r="L7" s="572"/>
      <c r="M7" s="572"/>
      <c r="N7" s="109"/>
      <c r="O7" s="110"/>
    </row>
    <row r="8" spans="2:15" ht="15" customHeight="1" thickBot="1" x14ac:dyDescent="0.3">
      <c r="B8" s="108"/>
      <c r="C8" s="109"/>
      <c r="D8" s="109"/>
      <c r="E8" s="109"/>
      <c r="F8" s="109"/>
      <c r="G8" s="109"/>
      <c r="H8" s="109"/>
      <c r="I8" s="109"/>
      <c r="J8" s="109"/>
      <c r="K8" s="109"/>
      <c r="L8" s="109"/>
      <c r="M8" s="109"/>
      <c r="N8" s="109"/>
      <c r="O8" s="110"/>
    </row>
    <row r="9" spans="2:15" ht="18" customHeight="1" thickTop="1" x14ac:dyDescent="0.25">
      <c r="B9" s="111"/>
      <c r="C9" s="576" t="s">
        <v>222</v>
      </c>
      <c r="D9" s="577"/>
      <c r="E9" s="577"/>
      <c r="F9" s="577"/>
      <c r="G9" s="577"/>
      <c r="H9" s="577"/>
      <c r="I9" s="577"/>
      <c r="J9" s="577"/>
      <c r="K9" s="577"/>
      <c r="L9" s="577"/>
      <c r="M9" s="577"/>
      <c r="N9" s="578"/>
      <c r="O9" s="112"/>
    </row>
    <row r="10" spans="2:15" ht="18" customHeight="1" x14ac:dyDescent="0.25">
      <c r="B10" s="111"/>
      <c r="C10" s="579"/>
      <c r="D10" s="580"/>
      <c r="E10" s="580"/>
      <c r="F10" s="580"/>
      <c r="G10" s="580"/>
      <c r="H10" s="580"/>
      <c r="I10" s="580"/>
      <c r="J10" s="580"/>
      <c r="K10" s="580"/>
      <c r="L10" s="580"/>
      <c r="M10" s="580"/>
      <c r="N10" s="581"/>
      <c r="O10" s="112"/>
    </row>
    <row r="11" spans="2:15" ht="18" customHeight="1" x14ac:dyDescent="0.25">
      <c r="B11" s="111"/>
      <c r="C11" s="579"/>
      <c r="D11" s="580"/>
      <c r="E11" s="580"/>
      <c r="F11" s="580"/>
      <c r="G11" s="580"/>
      <c r="H11" s="580"/>
      <c r="I11" s="580"/>
      <c r="J11" s="580"/>
      <c r="K11" s="580"/>
      <c r="L11" s="580"/>
      <c r="M11" s="580"/>
      <c r="N11" s="581"/>
      <c r="O11" s="112"/>
    </row>
    <row r="12" spans="2:15" ht="3" customHeight="1" x14ac:dyDescent="0.25">
      <c r="B12" s="111"/>
      <c r="C12" s="383"/>
      <c r="D12" s="384"/>
      <c r="E12" s="384"/>
      <c r="F12" s="384"/>
      <c r="G12" s="384"/>
      <c r="H12" s="384"/>
      <c r="I12" s="384"/>
      <c r="J12" s="384"/>
      <c r="K12" s="384"/>
      <c r="L12" s="384"/>
      <c r="M12" s="384"/>
      <c r="N12" s="385"/>
      <c r="O12" s="112"/>
    </row>
    <row r="13" spans="2:15" ht="18" customHeight="1" x14ac:dyDescent="0.25">
      <c r="B13" s="111"/>
      <c r="C13" s="556" t="s">
        <v>204</v>
      </c>
      <c r="D13" s="549"/>
      <c r="E13" s="549"/>
      <c r="F13" s="549"/>
      <c r="G13" s="549"/>
      <c r="H13" s="549"/>
      <c r="I13" s="549"/>
      <c r="J13" s="549"/>
      <c r="K13" s="549"/>
      <c r="L13" s="549"/>
      <c r="M13" s="549"/>
      <c r="N13" s="550"/>
      <c r="O13" s="112"/>
    </row>
    <row r="14" spans="2:15" ht="18" customHeight="1" x14ac:dyDescent="0.25">
      <c r="B14" s="111"/>
      <c r="C14" s="556"/>
      <c r="D14" s="549"/>
      <c r="E14" s="549"/>
      <c r="F14" s="549"/>
      <c r="G14" s="549"/>
      <c r="H14" s="549"/>
      <c r="I14" s="549"/>
      <c r="J14" s="549"/>
      <c r="K14" s="549"/>
      <c r="L14" s="549"/>
      <c r="M14" s="549"/>
      <c r="N14" s="550"/>
      <c r="O14" s="112"/>
    </row>
    <row r="15" spans="2:15" ht="18" customHeight="1" x14ac:dyDescent="0.25">
      <c r="B15" s="111"/>
      <c r="C15" s="556"/>
      <c r="D15" s="549"/>
      <c r="E15" s="549"/>
      <c r="F15" s="549"/>
      <c r="G15" s="549"/>
      <c r="H15" s="549"/>
      <c r="I15" s="549"/>
      <c r="J15" s="549"/>
      <c r="K15" s="549"/>
      <c r="L15" s="549"/>
      <c r="M15" s="549"/>
      <c r="N15" s="550"/>
      <c r="O15" s="112"/>
    </row>
    <row r="16" spans="2:15" ht="3" customHeight="1" x14ac:dyDescent="0.25">
      <c r="B16" s="111"/>
      <c r="C16" s="380"/>
      <c r="D16" s="381"/>
      <c r="E16" s="381"/>
      <c r="F16" s="381"/>
      <c r="G16" s="381"/>
      <c r="H16" s="381"/>
      <c r="I16" s="381"/>
      <c r="J16" s="381"/>
      <c r="K16" s="381"/>
      <c r="L16" s="381"/>
      <c r="M16" s="381"/>
      <c r="N16" s="382"/>
      <c r="O16" s="112"/>
    </row>
    <row r="17" spans="2:17" ht="18" customHeight="1" x14ac:dyDescent="0.25">
      <c r="B17" s="111"/>
      <c r="C17" s="556" t="s">
        <v>205</v>
      </c>
      <c r="D17" s="549"/>
      <c r="E17" s="549"/>
      <c r="F17" s="549"/>
      <c r="G17" s="549"/>
      <c r="H17" s="549"/>
      <c r="I17" s="549"/>
      <c r="J17" s="549"/>
      <c r="K17" s="549"/>
      <c r="L17" s="549"/>
      <c r="M17" s="549"/>
      <c r="N17" s="550"/>
      <c r="O17" s="112"/>
    </row>
    <row r="18" spans="2:17" ht="18" customHeight="1" x14ac:dyDescent="0.25">
      <c r="B18" s="111"/>
      <c r="C18" s="556"/>
      <c r="D18" s="549"/>
      <c r="E18" s="549"/>
      <c r="F18" s="549"/>
      <c r="G18" s="549"/>
      <c r="H18" s="549"/>
      <c r="I18" s="549"/>
      <c r="J18" s="549"/>
      <c r="K18" s="549"/>
      <c r="L18" s="549"/>
      <c r="M18" s="549"/>
      <c r="N18" s="550"/>
      <c r="O18" s="112"/>
    </row>
    <row r="19" spans="2:17" ht="3" customHeight="1" x14ac:dyDescent="0.25">
      <c r="B19" s="111"/>
      <c r="C19" s="392"/>
      <c r="D19" s="393"/>
      <c r="E19" s="393"/>
      <c r="F19" s="393"/>
      <c r="G19" s="393"/>
      <c r="H19" s="393"/>
      <c r="I19" s="393"/>
      <c r="J19" s="393"/>
      <c r="K19" s="393"/>
      <c r="L19" s="393"/>
      <c r="M19" s="393"/>
      <c r="N19" s="394"/>
      <c r="O19" s="112"/>
    </row>
    <row r="20" spans="2:17" ht="18" customHeight="1" x14ac:dyDescent="0.25">
      <c r="B20" s="111"/>
      <c r="C20" s="561" t="s">
        <v>197</v>
      </c>
      <c r="D20" s="562"/>
      <c r="E20" s="562"/>
      <c r="F20" s="562"/>
      <c r="G20" s="562"/>
      <c r="H20" s="562"/>
      <c r="I20" s="562"/>
      <c r="J20" s="562"/>
      <c r="K20" s="562"/>
      <c r="L20" s="562"/>
      <c r="M20" s="562"/>
      <c r="N20" s="563"/>
      <c r="O20" s="112"/>
      <c r="Q20" s="63"/>
    </row>
    <row r="21" spans="2:17" ht="18" customHeight="1" x14ac:dyDescent="0.25">
      <c r="B21" s="111"/>
      <c r="C21" s="556" t="s">
        <v>344</v>
      </c>
      <c r="D21" s="549"/>
      <c r="E21" s="549"/>
      <c r="F21" s="549"/>
      <c r="G21" s="549"/>
      <c r="H21" s="549"/>
      <c r="I21" s="549"/>
      <c r="J21" s="549"/>
      <c r="K21" s="549"/>
      <c r="L21" s="549"/>
      <c r="M21" s="549"/>
      <c r="N21" s="550"/>
      <c r="O21" s="112"/>
    </row>
    <row r="22" spans="2:17" ht="18" customHeight="1" x14ac:dyDescent="0.25">
      <c r="B22" s="111"/>
      <c r="C22" s="556"/>
      <c r="D22" s="549"/>
      <c r="E22" s="549"/>
      <c r="F22" s="549"/>
      <c r="G22" s="549"/>
      <c r="H22" s="549"/>
      <c r="I22" s="549"/>
      <c r="J22" s="549"/>
      <c r="K22" s="549"/>
      <c r="L22" s="549"/>
      <c r="M22" s="549"/>
      <c r="N22" s="550"/>
      <c r="O22" s="112"/>
    </row>
    <row r="23" spans="2:17" ht="18" customHeight="1" x14ac:dyDescent="0.25">
      <c r="B23" s="111"/>
      <c r="C23" s="556"/>
      <c r="D23" s="549"/>
      <c r="E23" s="549"/>
      <c r="F23" s="549"/>
      <c r="G23" s="549"/>
      <c r="H23" s="549"/>
      <c r="I23" s="549"/>
      <c r="J23" s="549"/>
      <c r="K23" s="549"/>
      <c r="L23" s="549"/>
      <c r="M23" s="549"/>
      <c r="N23" s="550"/>
      <c r="O23" s="112"/>
    </row>
    <row r="24" spans="2:17" ht="18" customHeight="1" x14ac:dyDescent="0.25">
      <c r="B24" s="111"/>
      <c r="C24" s="556"/>
      <c r="D24" s="549"/>
      <c r="E24" s="549"/>
      <c r="F24" s="549"/>
      <c r="G24" s="549"/>
      <c r="H24" s="549"/>
      <c r="I24" s="549"/>
      <c r="J24" s="549"/>
      <c r="K24" s="549"/>
      <c r="L24" s="549"/>
      <c r="M24" s="549"/>
      <c r="N24" s="550"/>
      <c r="O24" s="112"/>
    </row>
    <row r="25" spans="2:17" ht="18" customHeight="1" x14ac:dyDescent="0.25">
      <c r="B25" s="111"/>
      <c r="C25" s="556"/>
      <c r="D25" s="549"/>
      <c r="E25" s="549"/>
      <c r="F25" s="549"/>
      <c r="G25" s="549"/>
      <c r="H25" s="549"/>
      <c r="I25" s="549"/>
      <c r="J25" s="549"/>
      <c r="K25" s="549"/>
      <c r="L25" s="549"/>
      <c r="M25" s="549"/>
      <c r="N25" s="550"/>
      <c r="O25" s="112"/>
    </row>
    <row r="26" spans="2:17" ht="18" customHeight="1" thickBot="1" x14ac:dyDescent="0.3">
      <c r="B26" s="111"/>
      <c r="C26" s="557"/>
      <c r="D26" s="551"/>
      <c r="E26" s="551"/>
      <c r="F26" s="551"/>
      <c r="G26" s="551"/>
      <c r="H26" s="551"/>
      <c r="I26" s="551"/>
      <c r="J26" s="551"/>
      <c r="K26" s="551"/>
      <c r="L26" s="551"/>
      <c r="M26" s="551"/>
      <c r="N26" s="552"/>
      <c r="O26" s="112"/>
    </row>
    <row r="27" spans="2:17" ht="20.100000000000001" customHeight="1" thickTop="1" x14ac:dyDescent="0.25">
      <c r="B27" s="111"/>
      <c r="C27" s="113"/>
      <c r="D27" s="113"/>
      <c r="E27" s="113"/>
      <c r="F27" s="113"/>
      <c r="G27" s="113"/>
      <c r="H27" s="113"/>
      <c r="I27" s="113"/>
      <c r="J27" s="113"/>
      <c r="K27" s="113"/>
      <c r="L27" s="113"/>
      <c r="M27" s="113"/>
      <c r="N27" s="113"/>
      <c r="O27" s="112"/>
      <c r="Q27" s="63"/>
    </row>
    <row r="28" spans="2:17" ht="20.100000000000001" customHeight="1" thickBot="1" x14ac:dyDescent="0.3">
      <c r="B28" s="111"/>
      <c r="C28" s="113"/>
      <c r="D28" s="113"/>
      <c r="E28" s="113"/>
      <c r="F28" s="113"/>
      <c r="G28" s="113"/>
      <c r="H28" s="113"/>
      <c r="I28" s="113"/>
      <c r="J28" s="113"/>
      <c r="K28" s="113"/>
      <c r="L28" s="113"/>
      <c r="M28" s="113"/>
      <c r="N28" s="113"/>
      <c r="O28" s="112"/>
    </row>
    <row r="29" spans="2:17" ht="21.95" customHeight="1" thickTop="1" x14ac:dyDescent="0.25">
      <c r="B29" s="111"/>
      <c r="C29" s="543" t="s">
        <v>198</v>
      </c>
      <c r="D29" s="544"/>
      <c r="E29" s="544"/>
      <c r="F29" s="544"/>
      <c r="G29" s="544"/>
      <c r="H29" s="544"/>
      <c r="I29" s="544"/>
      <c r="J29" s="544"/>
      <c r="K29" s="544"/>
      <c r="L29" s="544"/>
      <c r="M29" s="544"/>
      <c r="N29" s="545"/>
      <c r="O29" s="112"/>
    </row>
    <row r="30" spans="2:17" ht="36.75" customHeight="1" x14ac:dyDescent="0.25">
      <c r="B30" s="111"/>
      <c r="C30" s="556" t="s">
        <v>235</v>
      </c>
      <c r="D30" s="549"/>
      <c r="E30" s="549"/>
      <c r="F30" s="549"/>
      <c r="G30" s="549"/>
      <c r="H30" s="549"/>
      <c r="I30" s="549"/>
      <c r="J30" s="549"/>
      <c r="K30" s="549"/>
      <c r="L30" s="549"/>
      <c r="M30" s="549"/>
      <c r="N30" s="550"/>
      <c r="O30" s="112"/>
    </row>
    <row r="31" spans="2:17" ht="3" customHeight="1" x14ac:dyDescent="0.25">
      <c r="B31" s="111"/>
      <c r="C31" s="395"/>
      <c r="D31" s="396"/>
      <c r="E31" s="396"/>
      <c r="F31" s="396"/>
      <c r="G31" s="396"/>
      <c r="H31" s="396"/>
      <c r="I31" s="396"/>
      <c r="J31" s="396"/>
      <c r="K31" s="396"/>
      <c r="L31" s="396"/>
      <c r="M31" s="396"/>
      <c r="N31" s="397"/>
      <c r="O31" s="112"/>
    </row>
    <row r="32" spans="2:17" ht="18" customHeight="1" x14ac:dyDescent="0.25">
      <c r="B32" s="111"/>
      <c r="C32" s="573" t="s">
        <v>203</v>
      </c>
      <c r="D32" s="574"/>
      <c r="E32" s="574"/>
      <c r="F32" s="574"/>
      <c r="G32" s="574"/>
      <c r="H32" s="574"/>
      <c r="I32" s="574"/>
      <c r="J32" s="574"/>
      <c r="K32" s="574"/>
      <c r="L32" s="574"/>
      <c r="M32" s="574"/>
      <c r="N32" s="575"/>
      <c r="O32" s="112"/>
    </row>
    <row r="33" spans="1:68" ht="3" customHeight="1" x14ac:dyDescent="0.25">
      <c r="B33" s="111"/>
      <c r="C33" s="395"/>
      <c r="D33" s="396"/>
      <c r="E33" s="396"/>
      <c r="F33" s="396"/>
      <c r="G33" s="396"/>
      <c r="H33" s="396"/>
      <c r="I33" s="396"/>
      <c r="J33" s="396"/>
      <c r="K33" s="396"/>
      <c r="L33" s="396"/>
      <c r="M33" s="396"/>
      <c r="N33" s="397"/>
      <c r="O33" s="112"/>
    </row>
    <row r="34" spans="1:68" ht="18" customHeight="1" x14ac:dyDescent="0.25">
      <c r="B34" s="111"/>
      <c r="C34" s="566" t="s">
        <v>206</v>
      </c>
      <c r="D34" s="567"/>
      <c r="E34" s="567"/>
      <c r="F34" s="567"/>
      <c r="G34" s="567"/>
      <c r="H34" s="567"/>
      <c r="I34" s="567"/>
      <c r="J34" s="567"/>
      <c r="K34" s="567"/>
      <c r="L34" s="567"/>
      <c r="M34" s="567"/>
      <c r="N34" s="568"/>
      <c r="O34" s="112"/>
    </row>
    <row r="35" spans="1:68" ht="18" customHeight="1" x14ac:dyDescent="0.25">
      <c r="B35" s="111"/>
      <c r="C35" s="566"/>
      <c r="D35" s="567"/>
      <c r="E35" s="567"/>
      <c r="F35" s="567"/>
      <c r="G35" s="567"/>
      <c r="H35" s="567"/>
      <c r="I35" s="567"/>
      <c r="J35" s="567"/>
      <c r="K35" s="567"/>
      <c r="L35" s="567"/>
      <c r="M35" s="567"/>
      <c r="N35" s="568"/>
      <c r="O35" s="112"/>
    </row>
    <row r="36" spans="1:68" s="495" customFormat="1" ht="18" customHeight="1" x14ac:dyDescent="0.25">
      <c r="A36" s="51"/>
      <c r="B36" s="111"/>
      <c r="C36" s="566"/>
      <c r="D36" s="567"/>
      <c r="E36" s="567"/>
      <c r="F36" s="567"/>
      <c r="G36" s="567"/>
      <c r="H36" s="567"/>
      <c r="I36" s="567"/>
      <c r="J36" s="567"/>
      <c r="K36" s="567"/>
      <c r="L36" s="567"/>
      <c r="M36" s="567"/>
      <c r="N36" s="568"/>
      <c r="O36" s="112"/>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row>
    <row r="37" spans="1:68" ht="18" customHeight="1" x14ac:dyDescent="0.25">
      <c r="B37" s="111"/>
      <c r="C37" s="569" t="s">
        <v>366</v>
      </c>
      <c r="D37" s="570"/>
      <c r="E37" s="570"/>
      <c r="F37" s="570"/>
      <c r="G37" s="570"/>
      <c r="H37" s="570"/>
      <c r="I37" s="570"/>
      <c r="J37" s="570"/>
      <c r="K37" s="570"/>
      <c r="L37" s="570"/>
      <c r="M37" s="570"/>
      <c r="N37" s="571"/>
      <c r="O37" s="112"/>
    </row>
    <row r="38" spans="1:68" ht="3" customHeight="1" x14ac:dyDescent="0.25">
      <c r="B38" s="111"/>
      <c r="C38" s="395"/>
      <c r="D38" s="396"/>
      <c r="E38" s="396"/>
      <c r="F38" s="396"/>
      <c r="G38" s="396"/>
      <c r="H38" s="396"/>
      <c r="I38" s="396"/>
      <c r="J38" s="396"/>
      <c r="K38" s="396"/>
      <c r="L38" s="396"/>
      <c r="M38" s="396"/>
      <c r="N38" s="397"/>
      <c r="O38" s="112"/>
    </row>
    <row r="39" spans="1:68" ht="18" customHeight="1" x14ac:dyDescent="0.25">
      <c r="B39" s="111"/>
      <c r="C39" s="556" t="s">
        <v>207</v>
      </c>
      <c r="D39" s="549"/>
      <c r="E39" s="549"/>
      <c r="F39" s="549"/>
      <c r="G39" s="549"/>
      <c r="H39" s="549"/>
      <c r="I39" s="549"/>
      <c r="J39" s="549"/>
      <c r="K39" s="549"/>
      <c r="L39" s="549"/>
      <c r="M39" s="549"/>
      <c r="N39" s="550"/>
      <c r="O39" s="112"/>
    </row>
    <row r="40" spans="1:68" ht="18" customHeight="1" x14ac:dyDescent="0.25">
      <c r="B40" s="111"/>
      <c r="C40" s="556"/>
      <c r="D40" s="549"/>
      <c r="E40" s="549"/>
      <c r="F40" s="549"/>
      <c r="G40" s="549"/>
      <c r="H40" s="549"/>
      <c r="I40" s="549"/>
      <c r="J40" s="549"/>
      <c r="K40" s="549"/>
      <c r="L40" s="549"/>
      <c r="M40" s="549"/>
      <c r="N40" s="550"/>
      <c r="O40" s="112"/>
    </row>
    <row r="41" spans="1:68" ht="18" customHeight="1" x14ac:dyDescent="0.25">
      <c r="B41" s="111"/>
      <c r="C41" s="556"/>
      <c r="D41" s="549"/>
      <c r="E41" s="549"/>
      <c r="F41" s="549"/>
      <c r="G41" s="549"/>
      <c r="H41" s="549"/>
      <c r="I41" s="549"/>
      <c r="J41" s="549"/>
      <c r="K41" s="549"/>
      <c r="L41" s="549"/>
      <c r="M41" s="549"/>
      <c r="N41" s="550"/>
      <c r="O41" s="112"/>
    </row>
    <row r="42" spans="1:68" ht="3" customHeight="1" x14ac:dyDescent="0.25">
      <c r="B42" s="111"/>
      <c r="C42" s="392"/>
      <c r="D42" s="393"/>
      <c r="E42" s="393"/>
      <c r="F42" s="393"/>
      <c r="G42" s="393"/>
      <c r="H42" s="393"/>
      <c r="I42" s="393"/>
      <c r="J42" s="393"/>
      <c r="K42" s="393"/>
      <c r="L42" s="393"/>
      <c r="M42" s="393"/>
      <c r="N42" s="394"/>
      <c r="O42" s="112"/>
    </row>
    <row r="43" spans="1:68" ht="18" customHeight="1" x14ac:dyDescent="0.25">
      <c r="B43" s="111"/>
      <c r="C43" s="556" t="s">
        <v>345</v>
      </c>
      <c r="D43" s="549"/>
      <c r="E43" s="549"/>
      <c r="F43" s="549"/>
      <c r="G43" s="549"/>
      <c r="H43" s="549"/>
      <c r="I43" s="549"/>
      <c r="J43" s="549"/>
      <c r="K43" s="549"/>
      <c r="L43" s="549"/>
      <c r="M43" s="549"/>
      <c r="N43" s="550"/>
      <c r="O43" s="112"/>
    </row>
    <row r="44" spans="1:68" ht="18" customHeight="1" x14ac:dyDescent="0.25">
      <c r="B44" s="111"/>
      <c r="C44" s="556"/>
      <c r="D44" s="549"/>
      <c r="E44" s="549"/>
      <c r="F44" s="549"/>
      <c r="G44" s="549"/>
      <c r="H44" s="549"/>
      <c r="I44" s="549"/>
      <c r="J44" s="549"/>
      <c r="K44" s="549"/>
      <c r="L44" s="549"/>
      <c r="M44" s="549"/>
      <c r="N44" s="550"/>
      <c r="O44" s="112"/>
    </row>
    <row r="45" spans="1:68" ht="3" customHeight="1" x14ac:dyDescent="0.25">
      <c r="B45" s="111"/>
      <c r="C45" s="392"/>
      <c r="D45" s="393"/>
      <c r="E45" s="393"/>
      <c r="F45" s="393"/>
      <c r="G45" s="393"/>
      <c r="H45" s="393"/>
      <c r="I45" s="393"/>
      <c r="J45" s="393"/>
      <c r="K45" s="393"/>
      <c r="L45" s="393"/>
      <c r="M45" s="393"/>
      <c r="N45" s="394"/>
      <c r="O45" s="112"/>
    </row>
    <row r="46" spans="1:68" ht="18" customHeight="1" x14ac:dyDescent="0.25">
      <c r="B46" s="111"/>
      <c r="C46" s="556" t="s">
        <v>208</v>
      </c>
      <c r="D46" s="549"/>
      <c r="E46" s="549"/>
      <c r="F46" s="549"/>
      <c r="G46" s="549"/>
      <c r="H46" s="549"/>
      <c r="I46" s="549"/>
      <c r="J46" s="549"/>
      <c r="K46" s="549"/>
      <c r="L46" s="549"/>
      <c r="M46" s="549"/>
      <c r="N46" s="550"/>
      <c r="O46" s="112"/>
    </row>
    <row r="47" spans="1:68" ht="18" customHeight="1" x14ac:dyDescent="0.25">
      <c r="B47" s="111"/>
      <c r="C47" s="556"/>
      <c r="D47" s="549"/>
      <c r="E47" s="549"/>
      <c r="F47" s="549"/>
      <c r="G47" s="549"/>
      <c r="H47" s="549"/>
      <c r="I47" s="549"/>
      <c r="J47" s="549"/>
      <c r="K47" s="549"/>
      <c r="L47" s="549"/>
      <c r="M47" s="549"/>
      <c r="N47" s="550"/>
      <c r="O47" s="112"/>
    </row>
    <row r="48" spans="1:68" ht="18" customHeight="1" x14ac:dyDescent="0.25">
      <c r="B48" s="111"/>
      <c r="C48" s="556"/>
      <c r="D48" s="549"/>
      <c r="E48" s="549"/>
      <c r="F48" s="549"/>
      <c r="G48" s="549"/>
      <c r="H48" s="549"/>
      <c r="I48" s="549"/>
      <c r="J48" s="549"/>
      <c r="K48" s="549"/>
      <c r="L48" s="549"/>
      <c r="M48" s="549"/>
      <c r="N48" s="550"/>
      <c r="O48" s="112"/>
    </row>
    <row r="49" spans="1:68" ht="18" customHeight="1" thickBot="1" x14ac:dyDescent="0.3">
      <c r="B49" s="111"/>
      <c r="C49" s="557"/>
      <c r="D49" s="551"/>
      <c r="E49" s="551"/>
      <c r="F49" s="551"/>
      <c r="G49" s="551"/>
      <c r="H49" s="551"/>
      <c r="I49" s="551"/>
      <c r="J49" s="551"/>
      <c r="K49" s="551"/>
      <c r="L49" s="551"/>
      <c r="M49" s="551"/>
      <c r="N49" s="552"/>
      <c r="O49" s="112"/>
    </row>
    <row r="50" spans="1:68" ht="20.100000000000001" customHeight="1" thickTop="1" x14ac:dyDescent="0.3">
      <c r="B50" s="111"/>
      <c r="C50" s="387"/>
      <c r="D50" s="388"/>
      <c r="E50" s="388"/>
      <c r="F50" s="388"/>
      <c r="G50" s="388"/>
      <c r="H50" s="388"/>
      <c r="I50" s="388"/>
      <c r="J50" s="388"/>
      <c r="K50" s="388"/>
      <c r="L50" s="388"/>
      <c r="M50" s="388"/>
      <c r="N50" s="388"/>
      <c r="O50" s="112"/>
    </row>
    <row r="51" spans="1:68" ht="20.100000000000001" customHeight="1" thickBot="1" x14ac:dyDescent="0.35">
      <c r="B51" s="111"/>
      <c r="C51" s="387"/>
      <c r="D51" s="388"/>
      <c r="E51" s="388"/>
      <c r="F51" s="388"/>
      <c r="G51" s="388"/>
      <c r="H51" s="388"/>
      <c r="I51" s="388"/>
      <c r="J51" s="388"/>
      <c r="K51" s="388"/>
      <c r="L51" s="388"/>
      <c r="M51" s="388"/>
      <c r="N51" s="388"/>
      <c r="O51" s="112"/>
    </row>
    <row r="52" spans="1:68" ht="18" customHeight="1" thickTop="1" x14ac:dyDescent="0.25">
      <c r="B52" s="111"/>
      <c r="C52" s="543" t="s">
        <v>199</v>
      </c>
      <c r="D52" s="544"/>
      <c r="E52" s="544"/>
      <c r="F52" s="544"/>
      <c r="G52" s="544"/>
      <c r="H52" s="544"/>
      <c r="I52" s="544"/>
      <c r="J52" s="544"/>
      <c r="K52" s="544"/>
      <c r="L52" s="544"/>
      <c r="M52" s="544"/>
      <c r="N52" s="545"/>
      <c r="O52" s="112"/>
    </row>
    <row r="53" spans="1:68" ht="18" customHeight="1" x14ac:dyDescent="0.25">
      <c r="B53" s="111"/>
      <c r="C53" s="548" t="s">
        <v>124</v>
      </c>
      <c r="D53" s="549" t="s">
        <v>209</v>
      </c>
      <c r="E53" s="549"/>
      <c r="F53" s="549"/>
      <c r="G53" s="549"/>
      <c r="H53" s="549"/>
      <c r="I53" s="549"/>
      <c r="J53" s="549"/>
      <c r="K53" s="549"/>
      <c r="L53" s="549"/>
      <c r="M53" s="549"/>
      <c r="N53" s="550"/>
      <c r="O53" s="112"/>
    </row>
    <row r="54" spans="1:68" ht="18" customHeight="1" x14ac:dyDescent="0.25">
      <c r="B54" s="111"/>
      <c r="C54" s="548"/>
      <c r="D54" s="549"/>
      <c r="E54" s="549"/>
      <c r="F54" s="549"/>
      <c r="G54" s="549"/>
      <c r="H54" s="549"/>
      <c r="I54" s="549"/>
      <c r="J54" s="549"/>
      <c r="K54" s="549"/>
      <c r="L54" s="549"/>
      <c r="M54" s="549"/>
      <c r="N54" s="550"/>
      <c r="O54" s="112"/>
    </row>
    <row r="55" spans="1:68" ht="18" customHeight="1" x14ac:dyDescent="0.25">
      <c r="B55" s="111"/>
      <c r="C55" s="548"/>
      <c r="D55" s="549"/>
      <c r="E55" s="549"/>
      <c r="F55" s="549"/>
      <c r="G55" s="549"/>
      <c r="H55" s="549"/>
      <c r="I55" s="549"/>
      <c r="J55" s="549"/>
      <c r="K55" s="549"/>
      <c r="L55" s="549"/>
      <c r="M55" s="549"/>
      <c r="N55" s="550"/>
      <c r="O55" s="112"/>
    </row>
    <row r="56" spans="1:68" ht="18" customHeight="1" x14ac:dyDescent="0.25">
      <c r="B56" s="111"/>
      <c r="C56" s="548"/>
      <c r="D56" s="549"/>
      <c r="E56" s="549"/>
      <c r="F56" s="549"/>
      <c r="G56" s="549"/>
      <c r="H56" s="549"/>
      <c r="I56" s="549"/>
      <c r="J56" s="549"/>
      <c r="K56" s="549"/>
      <c r="L56" s="549"/>
      <c r="M56" s="549"/>
      <c r="N56" s="550"/>
      <c r="O56" s="112"/>
    </row>
    <row r="57" spans="1:68" ht="18" customHeight="1" x14ac:dyDescent="0.25">
      <c r="B57" s="111"/>
      <c r="C57" s="548"/>
      <c r="D57" s="546" t="s">
        <v>200</v>
      </c>
      <c r="E57" s="546"/>
      <c r="F57" s="546"/>
      <c r="G57" s="546"/>
      <c r="H57" s="546"/>
      <c r="I57" s="546"/>
      <c r="J57" s="546"/>
      <c r="K57" s="546"/>
      <c r="L57" s="546"/>
      <c r="M57" s="546"/>
      <c r="N57" s="547"/>
      <c r="O57" s="112"/>
    </row>
    <row r="58" spans="1:68" ht="3" customHeight="1" x14ac:dyDescent="0.3">
      <c r="B58" s="111"/>
      <c r="C58" s="386"/>
      <c r="D58" s="393"/>
      <c r="E58" s="393"/>
      <c r="F58" s="393"/>
      <c r="G58" s="393"/>
      <c r="H58" s="393"/>
      <c r="I58" s="393"/>
      <c r="J58" s="393"/>
      <c r="K58" s="393"/>
      <c r="L58" s="393"/>
      <c r="M58" s="393"/>
      <c r="N58" s="394"/>
      <c r="O58" s="112"/>
    </row>
    <row r="59" spans="1:68" ht="18" customHeight="1" x14ac:dyDescent="0.25">
      <c r="B59" s="111"/>
      <c r="C59" s="548" t="s">
        <v>123</v>
      </c>
      <c r="D59" s="549" t="s">
        <v>210</v>
      </c>
      <c r="E59" s="549"/>
      <c r="F59" s="549"/>
      <c r="G59" s="549"/>
      <c r="H59" s="549"/>
      <c r="I59" s="549"/>
      <c r="J59" s="549"/>
      <c r="K59" s="549"/>
      <c r="L59" s="549"/>
      <c r="M59" s="549"/>
      <c r="N59" s="550"/>
      <c r="O59" s="112"/>
    </row>
    <row r="60" spans="1:68" ht="18" customHeight="1" x14ac:dyDescent="0.25">
      <c r="B60" s="111"/>
      <c r="C60" s="548"/>
      <c r="D60" s="549"/>
      <c r="E60" s="549"/>
      <c r="F60" s="549"/>
      <c r="G60" s="549"/>
      <c r="H60" s="549"/>
      <c r="I60" s="549"/>
      <c r="J60" s="549"/>
      <c r="K60" s="549"/>
      <c r="L60" s="549"/>
      <c r="M60" s="549"/>
      <c r="N60" s="550"/>
      <c r="O60" s="112"/>
    </row>
    <row r="61" spans="1:68" ht="15.95" customHeight="1" x14ac:dyDescent="0.25">
      <c r="B61" s="111"/>
      <c r="C61" s="418"/>
      <c r="D61" s="564" t="s">
        <v>234</v>
      </c>
      <c r="E61" s="564"/>
      <c r="F61" s="564"/>
      <c r="G61" s="564"/>
      <c r="H61" s="564"/>
      <c r="I61" s="564"/>
      <c r="J61" s="564"/>
      <c r="K61" s="564"/>
      <c r="L61" s="564"/>
      <c r="M61" s="564"/>
      <c r="N61" s="565"/>
      <c r="O61" s="112"/>
    </row>
    <row r="62" spans="1:68" s="515" customFormat="1" ht="15.95" customHeight="1" x14ac:dyDescent="0.3">
      <c r="A62" s="511"/>
      <c r="B62" s="512"/>
      <c r="C62" s="513"/>
      <c r="D62" s="564"/>
      <c r="E62" s="564"/>
      <c r="F62" s="564"/>
      <c r="G62" s="564"/>
      <c r="H62" s="564"/>
      <c r="I62" s="564"/>
      <c r="J62" s="564"/>
      <c r="K62" s="564"/>
      <c r="L62" s="564"/>
      <c r="M62" s="564"/>
      <c r="N62" s="565"/>
      <c r="O62" s="514"/>
      <c r="P62" s="511"/>
      <c r="Q62" s="511"/>
      <c r="R62" s="511"/>
      <c r="S62" s="511"/>
      <c r="T62" s="511"/>
      <c r="U62" s="511"/>
      <c r="V62" s="511"/>
      <c r="W62" s="511"/>
      <c r="X62" s="511"/>
      <c r="Y62" s="511"/>
      <c r="Z62" s="511"/>
      <c r="AA62" s="511"/>
      <c r="AB62" s="511"/>
      <c r="AC62" s="511"/>
      <c r="AD62" s="511"/>
      <c r="AE62" s="511"/>
      <c r="AF62" s="511"/>
      <c r="AG62" s="511"/>
      <c r="AH62" s="511"/>
      <c r="AI62" s="511"/>
      <c r="AJ62" s="511"/>
      <c r="AK62" s="511"/>
      <c r="AL62" s="511"/>
      <c r="AM62" s="511"/>
      <c r="AN62" s="511"/>
      <c r="AO62" s="511"/>
      <c r="AP62" s="511"/>
      <c r="AQ62" s="511"/>
      <c r="AR62" s="511"/>
      <c r="AS62" s="511"/>
      <c r="AT62" s="511"/>
      <c r="AU62" s="511"/>
      <c r="AV62" s="511"/>
      <c r="AW62" s="511"/>
      <c r="AX62" s="511"/>
      <c r="AY62" s="511"/>
      <c r="AZ62" s="511"/>
      <c r="BA62" s="511"/>
      <c r="BB62" s="511"/>
      <c r="BC62" s="511"/>
      <c r="BD62" s="511"/>
      <c r="BE62" s="511"/>
      <c r="BF62" s="511"/>
      <c r="BG62" s="511"/>
      <c r="BH62" s="511"/>
      <c r="BI62" s="511"/>
      <c r="BJ62" s="511"/>
      <c r="BK62" s="511"/>
      <c r="BL62" s="511"/>
      <c r="BM62" s="511"/>
      <c r="BN62" s="511"/>
      <c r="BO62" s="511"/>
      <c r="BP62" s="511"/>
    </row>
    <row r="63" spans="1:68" ht="3" customHeight="1" x14ac:dyDescent="0.3">
      <c r="B63" s="111"/>
      <c r="C63" s="386"/>
      <c r="D63" s="393"/>
      <c r="E63" s="393"/>
      <c r="F63" s="393"/>
      <c r="G63" s="393"/>
      <c r="H63" s="393"/>
      <c r="I63" s="393"/>
      <c r="J63" s="393"/>
      <c r="K63" s="393"/>
      <c r="L63" s="393"/>
      <c r="M63" s="393"/>
      <c r="N63" s="394"/>
      <c r="O63" s="112"/>
    </row>
    <row r="64" spans="1:68" ht="18" customHeight="1" x14ac:dyDescent="0.25">
      <c r="B64" s="111"/>
      <c r="C64" s="548" t="s">
        <v>125</v>
      </c>
      <c r="D64" s="549" t="s">
        <v>201</v>
      </c>
      <c r="E64" s="549"/>
      <c r="F64" s="549"/>
      <c r="G64" s="549"/>
      <c r="H64" s="549"/>
      <c r="I64" s="549"/>
      <c r="J64" s="549"/>
      <c r="K64" s="549"/>
      <c r="L64" s="549"/>
      <c r="M64" s="549"/>
      <c r="N64" s="550"/>
      <c r="O64" s="112"/>
    </row>
    <row r="65" spans="2:15" ht="18" customHeight="1" x14ac:dyDescent="0.25">
      <c r="B65" s="111"/>
      <c r="C65" s="548"/>
      <c r="D65" s="549"/>
      <c r="E65" s="549"/>
      <c r="F65" s="549"/>
      <c r="G65" s="549"/>
      <c r="H65" s="549"/>
      <c r="I65" s="549"/>
      <c r="J65" s="549"/>
      <c r="K65" s="549"/>
      <c r="L65" s="549"/>
      <c r="M65" s="549"/>
      <c r="N65" s="550"/>
      <c r="O65" s="112"/>
    </row>
    <row r="66" spans="2:15" ht="18" customHeight="1" x14ac:dyDescent="0.25">
      <c r="B66" s="111"/>
      <c r="C66" s="548"/>
      <c r="D66" s="549" t="s">
        <v>259</v>
      </c>
      <c r="E66" s="549"/>
      <c r="F66" s="549"/>
      <c r="G66" s="549"/>
      <c r="H66" s="549"/>
      <c r="I66" s="549"/>
      <c r="J66" s="549"/>
      <c r="K66" s="549"/>
      <c r="L66" s="549"/>
      <c r="M66" s="549"/>
      <c r="N66" s="550"/>
      <c r="O66" s="112"/>
    </row>
    <row r="67" spans="2:15" ht="18" customHeight="1" x14ac:dyDescent="0.25">
      <c r="B67" s="111"/>
      <c r="C67" s="548"/>
      <c r="D67" s="549"/>
      <c r="E67" s="549"/>
      <c r="F67" s="549"/>
      <c r="G67" s="549"/>
      <c r="H67" s="549"/>
      <c r="I67" s="549"/>
      <c r="J67" s="549"/>
      <c r="K67" s="549"/>
      <c r="L67" s="549"/>
      <c r="M67" s="549"/>
      <c r="N67" s="550"/>
      <c r="O67" s="112"/>
    </row>
    <row r="68" spans="2:15" ht="18" customHeight="1" x14ac:dyDescent="0.25">
      <c r="B68" s="111"/>
      <c r="C68" s="548"/>
      <c r="D68" s="549"/>
      <c r="E68" s="549"/>
      <c r="F68" s="549"/>
      <c r="G68" s="549"/>
      <c r="H68" s="549"/>
      <c r="I68" s="549"/>
      <c r="J68" s="549"/>
      <c r="K68" s="549"/>
      <c r="L68" s="549"/>
      <c r="M68" s="549"/>
      <c r="N68" s="550"/>
      <c r="O68" s="112"/>
    </row>
    <row r="69" spans="2:15" ht="18" customHeight="1" x14ac:dyDescent="0.25">
      <c r="B69" s="111"/>
      <c r="C69" s="548"/>
      <c r="D69" s="549"/>
      <c r="E69" s="549"/>
      <c r="F69" s="549"/>
      <c r="G69" s="549"/>
      <c r="H69" s="549"/>
      <c r="I69" s="549"/>
      <c r="J69" s="549"/>
      <c r="K69" s="549"/>
      <c r="L69" s="549"/>
      <c r="M69" s="549"/>
      <c r="N69" s="550"/>
      <c r="O69" s="112"/>
    </row>
    <row r="70" spans="2:15" ht="15.95" customHeight="1" x14ac:dyDescent="0.25">
      <c r="B70" s="111"/>
      <c r="C70" s="548"/>
      <c r="D70" s="554" t="s">
        <v>367</v>
      </c>
      <c r="E70" s="554"/>
      <c r="F70" s="554"/>
      <c r="G70" s="554"/>
      <c r="H70" s="554"/>
      <c r="I70" s="554"/>
      <c r="J70" s="554"/>
      <c r="K70" s="554"/>
      <c r="L70" s="554"/>
      <c r="M70" s="554"/>
      <c r="N70" s="555"/>
      <c r="O70" s="112"/>
    </row>
    <row r="71" spans="2:15" ht="15.95" customHeight="1" x14ac:dyDescent="0.25">
      <c r="B71" s="111"/>
      <c r="C71" s="548"/>
      <c r="D71" s="554"/>
      <c r="E71" s="554"/>
      <c r="F71" s="554"/>
      <c r="G71" s="554"/>
      <c r="H71" s="554"/>
      <c r="I71" s="554"/>
      <c r="J71" s="554"/>
      <c r="K71" s="554"/>
      <c r="L71" s="554"/>
      <c r="M71" s="554"/>
      <c r="N71" s="555"/>
      <c r="O71" s="112"/>
    </row>
    <row r="72" spans="2:15" ht="15.95" customHeight="1" x14ac:dyDescent="0.25">
      <c r="B72" s="111"/>
      <c r="C72" s="548"/>
      <c r="D72" s="554"/>
      <c r="E72" s="554"/>
      <c r="F72" s="554"/>
      <c r="G72" s="554"/>
      <c r="H72" s="554"/>
      <c r="I72" s="554"/>
      <c r="J72" s="554"/>
      <c r="K72" s="554"/>
      <c r="L72" s="554"/>
      <c r="M72" s="554"/>
      <c r="N72" s="555"/>
      <c r="O72" s="112"/>
    </row>
    <row r="73" spans="2:15" ht="3" customHeight="1" x14ac:dyDescent="0.25">
      <c r="B73" s="111"/>
      <c r="C73" s="380"/>
      <c r="D73" s="398"/>
      <c r="E73" s="398"/>
      <c r="F73" s="398"/>
      <c r="G73" s="398"/>
      <c r="H73" s="398"/>
      <c r="I73" s="398"/>
      <c r="J73" s="398"/>
      <c r="K73" s="398"/>
      <c r="L73" s="398"/>
      <c r="M73" s="398"/>
      <c r="N73" s="399"/>
      <c r="O73" s="112"/>
    </row>
    <row r="74" spans="2:15" ht="18" customHeight="1" x14ac:dyDescent="0.25">
      <c r="B74" s="111"/>
      <c r="C74" s="548" t="s">
        <v>126</v>
      </c>
      <c r="D74" s="549" t="s">
        <v>211</v>
      </c>
      <c r="E74" s="549"/>
      <c r="F74" s="549"/>
      <c r="G74" s="549"/>
      <c r="H74" s="549"/>
      <c r="I74" s="549"/>
      <c r="J74" s="549"/>
      <c r="K74" s="549"/>
      <c r="L74" s="549"/>
      <c r="M74" s="549"/>
      <c r="N74" s="550"/>
      <c r="O74" s="112"/>
    </row>
    <row r="75" spans="2:15" ht="18" customHeight="1" x14ac:dyDescent="0.25">
      <c r="B75" s="111"/>
      <c r="C75" s="548"/>
      <c r="D75" s="549"/>
      <c r="E75" s="549"/>
      <c r="F75" s="549"/>
      <c r="G75" s="549"/>
      <c r="H75" s="549"/>
      <c r="I75" s="549"/>
      <c r="J75" s="549"/>
      <c r="K75" s="549"/>
      <c r="L75" s="549"/>
      <c r="M75" s="549"/>
      <c r="N75" s="550"/>
      <c r="O75" s="112"/>
    </row>
    <row r="76" spans="2:15" ht="3" customHeight="1" x14ac:dyDescent="0.25">
      <c r="B76" s="111"/>
      <c r="C76" s="380"/>
      <c r="D76" s="398"/>
      <c r="E76" s="398"/>
      <c r="F76" s="398"/>
      <c r="G76" s="398"/>
      <c r="H76" s="398"/>
      <c r="I76" s="398"/>
      <c r="J76" s="398"/>
      <c r="K76" s="398"/>
      <c r="L76" s="398"/>
      <c r="M76" s="398"/>
      <c r="N76" s="399"/>
      <c r="O76" s="112"/>
    </row>
    <row r="77" spans="2:15" ht="18" customHeight="1" x14ac:dyDescent="0.25">
      <c r="B77" s="111"/>
      <c r="C77" s="548" t="s">
        <v>127</v>
      </c>
      <c r="D77" s="549" t="s">
        <v>346</v>
      </c>
      <c r="E77" s="549"/>
      <c r="F77" s="549"/>
      <c r="G77" s="549"/>
      <c r="H77" s="549"/>
      <c r="I77" s="549"/>
      <c r="J77" s="549"/>
      <c r="K77" s="549"/>
      <c r="L77" s="549"/>
      <c r="M77" s="549"/>
      <c r="N77" s="550"/>
      <c r="O77" s="112"/>
    </row>
    <row r="78" spans="2:15" ht="18" customHeight="1" x14ac:dyDescent="0.25">
      <c r="B78" s="111"/>
      <c r="C78" s="548"/>
      <c r="D78" s="549"/>
      <c r="E78" s="549"/>
      <c r="F78" s="549"/>
      <c r="G78" s="549"/>
      <c r="H78" s="549"/>
      <c r="I78" s="549"/>
      <c r="J78" s="549"/>
      <c r="K78" s="549"/>
      <c r="L78" s="549"/>
      <c r="M78" s="549"/>
      <c r="N78" s="550"/>
      <c r="O78" s="112"/>
    </row>
    <row r="79" spans="2:15" ht="18" customHeight="1" x14ac:dyDescent="0.25">
      <c r="B79" s="111"/>
      <c r="C79" s="548"/>
      <c r="D79" s="549" t="s">
        <v>260</v>
      </c>
      <c r="E79" s="549"/>
      <c r="F79" s="549"/>
      <c r="G79" s="549"/>
      <c r="H79" s="549"/>
      <c r="I79" s="549"/>
      <c r="J79" s="549"/>
      <c r="K79" s="549"/>
      <c r="L79" s="549"/>
      <c r="M79" s="549"/>
      <c r="N79" s="550"/>
      <c r="O79" s="112"/>
    </row>
    <row r="80" spans="2:15" ht="18" customHeight="1" thickBot="1" x14ac:dyDescent="0.3">
      <c r="B80" s="111"/>
      <c r="C80" s="553"/>
      <c r="D80" s="551"/>
      <c r="E80" s="551"/>
      <c r="F80" s="551"/>
      <c r="G80" s="551"/>
      <c r="H80" s="551"/>
      <c r="I80" s="551"/>
      <c r="J80" s="551"/>
      <c r="K80" s="551"/>
      <c r="L80" s="551"/>
      <c r="M80" s="551"/>
      <c r="N80" s="552"/>
      <c r="O80" s="112"/>
    </row>
    <row r="81" spans="2:15" ht="15.75" thickTop="1" x14ac:dyDescent="0.25">
      <c r="B81" s="111"/>
      <c r="C81" s="114"/>
      <c r="D81" s="114"/>
      <c r="E81" s="114"/>
      <c r="F81" s="114"/>
      <c r="G81" s="114"/>
      <c r="H81" s="114"/>
      <c r="I81" s="114"/>
      <c r="J81" s="114"/>
      <c r="K81" s="114"/>
      <c r="L81" s="114"/>
      <c r="M81" s="114"/>
      <c r="N81" s="114"/>
      <c r="O81" s="112"/>
    </row>
    <row r="82" spans="2:15" x14ac:dyDescent="0.25">
      <c r="B82" s="111"/>
      <c r="C82" s="114"/>
      <c r="D82" s="114"/>
      <c r="E82" s="114"/>
      <c r="F82" s="114"/>
      <c r="G82" s="114"/>
      <c r="H82" s="114"/>
      <c r="I82" s="114"/>
      <c r="J82" s="114"/>
      <c r="K82" s="114"/>
      <c r="L82" s="114"/>
      <c r="M82" s="114"/>
      <c r="N82" s="114"/>
      <c r="O82" s="112"/>
    </row>
    <row r="83" spans="2:15" ht="18.75" x14ac:dyDescent="0.3">
      <c r="B83" s="111"/>
      <c r="C83" s="558" t="s">
        <v>155</v>
      </c>
      <c r="D83" s="558"/>
      <c r="E83" s="558"/>
      <c r="F83" s="558"/>
      <c r="G83" s="558"/>
      <c r="H83" s="558"/>
      <c r="I83" s="558"/>
      <c r="J83" s="558"/>
      <c r="K83" s="558"/>
      <c r="L83" s="558"/>
      <c r="M83" s="558"/>
      <c r="N83" s="558"/>
      <c r="O83" s="112"/>
    </row>
    <row r="84" spans="2:15" ht="15.75" thickBot="1" x14ac:dyDescent="0.3">
      <c r="B84" s="111"/>
      <c r="C84" s="114"/>
      <c r="D84" s="114"/>
      <c r="E84" s="114"/>
      <c r="F84" s="114"/>
      <c r="G84" s="114"/>
      <c r="H84" s="114"/>
      <c r="I84" s="114"/>
      <c r="J84" s="114"/>
      <c r="K84" s="114"/>
      <c r="L84" s="114"/>
      <c r="M84" s="114"/>
      <c r="N84" s="114"/>
      <c r="O84" s="112"/>
    </row>
    <row r="85" spans="2:15" ht="15" customHeight="1" thickTop="1" x14ac:dyDescent="0.25">
      <c r="B85" s="111"/>
      <c r="C85" s="559" t="s">
        <v>142</v>
      </c>
      <c r="D85" s="560"/>
      <c r="E85" s="539" t="s">
        <v>130</v>
      </c>
      <c r="F85" s="539"/>
      <c r="G85" s="539"/>
      <c r="H85" s="539"/>
      <c r="I85" s="539"/>
      <c r="J85" s="539"/>
      <c r="K85" s="539"/>
      <c r="L85" s="539"/>
      <c r="M85" s="539"/>
      <c r="N85" s="540"/>
      <c r="O85" s="112"/>
    </row>
    <row r="86" spans="2:15" x14ac:dyDescent="0.25">
      <c r="B86" s="111"/>
      <c r="C86" s="531"/>
      <c r="D86" s="532"/>
      <c r="E86" s="541"/>
      <c r="F86" s="541"/>
      <c r="G86" s="541"/>
      <c r="H86" s="541"/>
      <c r="I86" s="541"/>
      <c r="J86" s="541"/>
      <c r="K86" s="541"/>
      <c r="L86" s="541"/>
      <c r="M86" s="541"/>
      <c r="N86" s="542"/>
      <c r="O86" s="112"/>
    </row>
    <row r="87" spans="2:15" x14ac:dyDescent="0.25">
      <c r="B87" s="111"/>
      <c r="C87" s="529" t="s">
        <v>140</v>
      </c>
      <c r="D87" s="530"/>
      <c r="E87" s="535" t="s">
        <v>141</v>
      </c>
      <c r="F87" s="535"/>
      <c r="G87" s="535"/>
      <c r="H87" s="535"/>
      <c r="I87" s="535"/>
      <c r="J87" s="535"/>
      <c r="K87" s="535"/>
      <c r="L87" s="535"/>
      <c r="M87" s="535"/>
      <c r="N87" s="536"/>
      <c r="O87" s="112"/>
    </row>
    <row r="88" spans="2:15" x14ac:dyDescent="0.25">
      <c r="B88" s="111"/>
      <c r="C88" s="531"/>
      <c r="D88" s="532"/>
      <c r="E88" s="537"/>
      <c r="F88" s="537"/>
      <c r="G88" s="537"/>
      <c r="H88" s="537"/>
      <c r="I88" s="537"/>
      <c r="J88" s="537"/>
      <c r="K88" s="537"/>
      <c r="L88" s="537"/>
      <c r="M88" s="537"/>
      <c r="N88" s="538"/>
      <c r="O88" s="112"/>
    </row>
    <row r="89" spans="2:15" x14ac:dyDescent="0.25">
      <c r="B89" s="111"/>
      <c r="C89" s="529" t="s">
        <v>138</v>
      </c>
      <c r="D89" s="530"/>
      <c r="E89" s="535" t="s">
        <v>139</v>
      </c>
      <c r="F89" s="535"/>
      <c r="G89" s="535"/>
      <c r="H89" s="535"/>
      <c r="I89" s="535"/>
      <c r="J89" s="535"/>
      <c r="K89" s="535"/>
      <c r="L89" s="535"/>
      <c r="M89" s="535"/>
      <c r="N89" s="536"/>
      <c r="O89" s="112"/>
    </row>
    <row r="90" spans="2:15" x14ac:dyDescent="0.25">
      <c r="B90" s="111"/>
      <c r="C90" s="529"/>
      <c r="D90" s="530"/>
      <c r="E90" s="535"/>
      <c r="F90" s="535"/>
      <c r="G90" s="535"/>
      <c r="H90" s="535"/>
      <c r="I90" s="535"/>
      <c r="J90" s="535"/>
      <c r="K90" s="535"/>
      <c r="L90" s="535"/>
      <c r="M90" s="535"/>
      <c r="N90" s="536"/>
      <c r="O90" s="112"/>
    </row>
    <row r="91" spans="2:15" x14ac:dyDescent="0.25">
      <c r="B91" s="111"/>
      <c r="C91" s="531"/>
      <c r="D91" s="532"/>
      <c r="E91" s="537"/>
      <c r="F91" s="537"/>
      <c r="G91" s="537"/>
      <c r="H91" s="537"/>
      <c r="I91" s="537"/>
      <c r="J91" s="537"/>
      <c r="K91" s="537"/>
      <c r="L91" s="537"/>
      <c r="M91" s="537"/>
      <c r="N91" s="538"/>
      <c r="O91" s="112"/>
    </row>
    <row r="92" spans="2:15" x14ac:dyDescent="0.25">
      <c r="B92" s="111"/>
      <c r="C92" s="529" t="s">
        <v>152</v>
      </c>
      <c r="D92" s="530"/>
      <c r="E92" s="523" t="s">
        <v>151</v>
      </c>
      <c r="F92" s="523"/>
      <c r="G92" s="523"/>
      <c r="H92" s="523"/>
      <c r="I92" s="523"/>
      <c r="J92" s="523"/>
      <c r="K92" s="523"/>
      <c r="L92" s="523"/>
      <c r="M92" s="523"/>
      <c r="N92" s="524"/>
      <c r="O92" s="112"/>
    </row>
    <row r="93" spans="2:15" x14ac:dyDescent="0.25">
      <c r="B93" s="111"/>
      <c r="C93" s="531"/>
      <c r="D93" s="532"/>
      <c r="E93" s="527"/>
      <c r="F93" s="527"/>
      <c r="G93" s="527"/>
      <c r="H93" s="527"/>
      <c r="I93" s="527"/>
      <c r="J93" s="527"/>
      <c r="K93" s="527"/>
      <c r="L93" s="527"/>
      <c r="M93" s="527"/>
      <c r="N93" s="528"/>
      <c r="O93" s="112"/>
    </row>
    <row r="94" spans="2:15" x14ac:dyDescent="0.25">
      <c r="B94" s="111"/>
      <c r="C94" s="529" t="s">
        <v>145</v>
      </c>
      <c r="D94" s="530"/>
      <c r="E94" s="523" t="s">
        <v>143</v>
      </c>
      <c r="F94" s="523"/>
      <c r="G94" s="523"/>
      <c r="H94" s="523"/>
      <c r="I94" s="523"/>
      <c r="J94" s="523"/>
      <c r="K94" s="523"/>
      <c r="L94" s="523"/>
      <c r="M94" s="523"/>
      <c r="N94" s="524"/>
      <c r="O94" s="112"/>
    </row>
    <row r="95" spans="2:15" x14ac:dyDescent="0.25">
      <c r="B95" s="111"/>
      <c r="C95" s="531"/>
      <c r="D95" s="532"/>
      <c r="E95" s="527"/>
      <c r="F95" s="527"/>
      <c r="G95" s="527"/>
      <c r="H95" s="527"/>
      <c r="I95" s="527"/>
      <c r="J95" s="527"/>
      <c r="K95" s="527"/>
      <c r="L95" s="527"/>
      <c r="M95" s="527"/>
      <c r="N95" s="528"/>
      <c r="O95" s="112"/>
    </row>
    <row r="96" spans="2:15" x14ac:dyDescent="0.25">
      <c r="B96" s="111"/>
      <c r="C96" s="529" t="s">
        <v>149</v>
      </c>
      <c r="D96" s="530"/>
      <c r="E96" s="523" t="s">
        <v>150</v>
      </c>
      <c r="F96" s="523"/>
      <c r="G96" s="523"/>
      <c r="H96" s="523"/>
      <c r="I96" s="523"/>
      <c r="J96" s="523"/>
      <c r="K96" s="523"/>
      <c r="L96" s="523"/>
      <c r="M96" s="523"/>
      <c r="N96" s="524"/>
      <c r="O96" s="112"/>
    </row>
    <row r="97" spans="1:68" x14ac:dyDescent="0.25">
      <c r="B97" s="111"/>
      <c r="C97" s="531"/>
      <c r="D97" s="532"/>
      <c r="E97" s="527"/>
      <c r="F97" s="527"/>
      <c r="G97" s="527"/>
      <c r="H97" s="527"/>
      <c r="I97" s="527"/>
      <c r="J97" s="527"/>
      <c r="K97" s="527"/>
      <c r="L97" s="527"/>
      <c r="M97" s="527"/>
      <c r="N97" s="528"/>
      <c r="O97" s="112"/>
    </row>
    <row r="98" spans="1:68" x14ac:dyDescent="0.25">
      <c r="B98" s="111"/>
      <c r="C98" s="529" t="s">
        <v>144</v>
      </c>
      <c r="D98" s="530"/>
      <c r="E98" s="523" t="s">
        <v>146</v>
      </c>
      <c r="F98" s="523"/>
      <c r="G98" s="523"/>
      <c r="H98" s="523"/>
      <c r="I98" s="523"/>
      <c r="J98" s="523"/>
      <c r="K98" s="523"/>
      <c r="L98" s="523"/>
      <c r="M98" s="523"/>
      <c r="N98" s="524"/>
      <c r="O98" s="112"/>
    </row>
    <row r="99" spans="1:68" x14ac:dyDescent="0.25">
      <c r="B99" s="111"/>
      <c r="C99" s="531"/>
      <c r="D99" s="532"/>
      <c r="E99" s="527"/>
      <c r="F99" s="527"/>
      <c r="G99" s="527"/>
      <c r="H99" s="527"/>
      <c r="I99" s="527"/>
      <c r="J99" s="527"/>
      <c r="K99" s="527"/>
      <c r="L99" s="527"/>
      <c r="M99" s="527"/>
      <c r="N99" s="528"/>
      <c r="O99" s="112"/>
    </row>
    <row r="100" spans="1:68" x14ac:dyDescent="0.25">
      <c r="B100" s="111"/>
      <c r="C100" s="529" t="s">
        <v>147</v>
      </c>
      <c r="D100" s="530"/>
      <c r="E100" s="523" t="s">
        <v>148</v>
      </c>
      <c r="F100" s="523"/>
      <c r="G100" s="523"/>
      <c r="H100" s="523"/>
      <c r="I100" s="523"/>
      <c r="J100" s="523"/>
      <c r="K100" s="523"/>
      <c r="L100" s="523"/>
      <c r="M100" s="523"/>
      <c r="N100" s="524"/>
      <c r="O100" s="112"/>
    </row>
    <row r="101" spans="1:68" x14ac:dyDescent="0.25">
      <c r="B101" s="111"/>
      <c r="C101" s="531"/>
      <c r="D101" s="532"/>
      <c r="E101" s="527"/>
      <c r="F101" s="527"/>
      <c r="G101" s="527"/>
      <c r="H101" s="527"/>
      <c r="I101" s="527"/>
      <c r="J101" s="527"/>
      <c r="K101" s="527"/>
      <c r="L101" s="527"/>
      <c r="M101" s="527"/>
      <c r="N101" s="528"/>
      <c r="O101" s="112"/>
    </row>
    <row r="102" spans="1:68" x14ac:dyDescent="0.25">
      <c r="B102" s="111"/>
      <c r="C102" s="529" t="s">
        <v>154</v>
      </c>
      <c r="D102" s="530"/>
      <c r="E102" s="523" t="s">
        <v>153</v>
      </c>
      <c r="F102" s="523"/>
      <c r="G102" s="523"/>
      <c r="H102" s="523"/>
      <c r="I102" s="523"/>
      <c r="J102" s="523"/>
      <c r="K102" s="523"/>
      <c r="L102" s="523"/>
      <c r="M102" s="523"/>
      <c r="N102" s="524"/>
      <c r="O102" s="112"/>
    </row>
    <row r="103" spans="1:68" ht="15.75" thickBot="1" x14ac:dyDescent="0.3">
      <c r="B103" s="111"/>
      <c r="C103" s="533"/>
      <c r="D103" s="534"/>
      <c r="E103" s="525"/>
      <c r="F103" s="525"/>
      <c r="G103" s="525"/>
      <c r="H103" s="525"/>
      <c r="I103" s="525"/>
      <c r="J103" s="525"/>
      <c r="K103" s="525"/>
      <c r="L103" s="525"/>
      <c r="M103" s="525"/>
      <c r="N103" s="526"/>
      <c r="O103" s="112"/>
    </row>
    <row r="104" spans="1:68" ht="16.5" thickTop="1" thickBot="1" x14ac:dyDescent="0.3">
      <c r="B104" s="111"/>
      <c r="C104" s="114"/>
      <c r="D104" s="114"/>
      <c r="E104" s="114"/>
      <c r="F104" s="114"/>
      <c r="G104" s="114"/>
      <c r="H104" s="114"/>
      <c r="I104" s="114"/>
      <c r="J104" s="114"/>
      <c r="K104" s="114"/>
      <c r="L104" s="114"/>
      <c r="M104" s="114"/>
      <c r="N104" s="114"/>
      <c r="O104" s="112"/>
    </row>
    <row r="105" spans="1:68" s="496" customFormat="1" ht="18" customHeight="1" thickTop="1" thickBot="1" x14ac:dyDescent="0.35">
      <c r="A105" s="51"/>
      <c r="B105" s="111"/>
      <c r="C105" s="520" t="s">
        <v>368</v>
      </c>
      <c r="D105" s="521"/>
      <c r="E105" s="521"/>
      <c r="F105" s="521"/>
      <c r="G105" s="521"/>
      <c r="H105" s="521"/>
      <c r="I105" s="521"/>
      <c r="J105" s="521"/>
      <c r="K105" s="521"/>
      <c r="L105" s="521"/>
      <c r="M105" s="521"/>
      <c r="N105" s="522"/>
      <c r="O105" s="112"/>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c r="AQ105" s="51"/>
      <c r="AR105" s="51"/>
      <c r="AS105" s="51"/>
      <c r="AT105" s="51"/>
      <c r="AU105" s="51"/>
      <c r="AV105" s="51"/>
      <c r="AW105" s="51"/>
      <c r="AX105" s="51"/>
      <c r="AY105" s="51"/>
      <c r="AZ105" s="51"/>
      <c r="BA105" s="51"/>
      <c r="BB105" s="51"/>
      <c r="BC105" s="51"/>
      <c r="BD105" s="51"/>
      <c r="BE105" s="51"/>
      <c r="BF105" s="51"/>
      <c r="BG105" s="51"/>
      <c r="BH105" s="51"/>
      <c r="BI105" s="51"/>
      <c r="BJ105" s="51"/>
      <c r="BK105" s="51"/>
      <c r="BL105" s="51"/>
      <c r="BM105" s="51"/>
      <c r="BN105" s="51"/>
      <c r="BO105" s="51"/>
      <c r="BP105" s="51"/>
    </row>
    <row r="106" spans="1:68" ht="15.75" thickTop="1" x14ac:dyDescent="0.25">
      <c r="B106" s="111"/>
      <c r="C106" s="114"/>
      <c r="D106" s="114"/>
      <c r="E106" s="114"/>
      <c r="F106" s="114"/>
      <c r="G106" s="114"/>
      <c r="H106" s="114"/>
      <c r="I106" s="114"/>
      <c r="J106" s="114"/>
      <c r="K106" s="114"/>
      <c r="L106" s="114"/>
      <c r="M106" s="114"/>
      <c r="N106" s="114"/>
      <c r="O106" s="112"/>
    </row>
    <row r="107" spans="1:68" x14ac:dyDescent="0.25">
      <c r="B107" s="111"/>
      <c r="C107" s="114"/>
      <c r="D107" s="114"/>
      <c r="E107" s="114"/>
      <c r="F107" s="114"/>
      <c r="G107" s="114"/>
      <c r="H107" s="114"/>
      <c r="I107" s="114"/>
      <c r="J107" s="114"/>
      <c r="K107" s="114"/>
      <c r="L107" s="114"/>
      <c r="M107" s="379"/>
      <c r="N107" s="135" t="s">
        <v>128</v>
      </c>
      <c r="O107" s="112"/>
    </row>
    <row r="108" spans="1:68" ht="15.75" thickBot="1" x14ac:dyDescent="0.3">
      <c r="B108" s="115"/>
      <c r="C108" s="116"/>
      <c r="D108" s="116"/>
      <c r="E108" s="116"/>
      <c r="F108" s="116"/>
      <c r="G108" s="116"/>
      <c r="H108" s="116"/>
      <c r="I108" s="116"/>
      <c r="J108" s="116"/>
      <c r="K108" s="116"/>
      <c r="L108" s="116"/>
      <c r="M108" s="116"/>
      <c r="N108" s="116"/>
      <c r="O108" s="117"/>
    </row>
  </sheetData>
  <sheetProtection algorithmName="SHA-512" hashValue="iVwrLy4So0UHTQ9iFCV8DNn4B2oHhGccExerb66BgRgKA31vUAVUZLwWtwouS1I47XoNpNV7yWt3iGmDrBorRg==" saltValue="R3gw6a8WBBzWTG/ROhyW4g==" spinCount="100000" sheet="1" objects="1" scenarios="1" selectLockedCells="1"/>
  <mergeCells count="50">
    <mergeCell ref="D7:M7"/>
    <mergeCell ref="C30:N30"/>
    <mergeCell ref="C32:N32"/>
    <mergeCell ref="C39:N41"/>
    <mergeCell ref="C9:N11"/>
    <mergeCell ref="C13:N15"/>
    <mergeCell ref="C89:D91"/>
    <mergeCell ref="C87:D88"/>
    <mergeCell ref="C85:D86"/>
    <mergeCell ref="C17:N18"/>
    <mergeCell ref="C21:N26"/>
    <mergeCell ref="C20:N20"/>
    <mergeCell ref="D59:N60"/>
    <mergeCell ref="C59:C60"/>
    <mergeCell ref="D64:N65"/>
    <mergeCell ref="D66:N69"/>
    <mergeCell ref="C52:N52"/>
    <mergeCell ref="D53:N56"/>
    <mergeCell ref="D61:N62"/>
    <mergeCell ref="C34:N36"/>
    <mergeCell ref="C37:N37"/>
    <mergeCell ref="E89:N91"/>
    <mergeCell ref="E87:N88"/>
    <mergeCell ref="E85:N86"/>
    <mergeCell ref="C29:N29"/>
    <mergeCell ref="D57:N57"/>
    <mergeCell ref="C53:C57"/>
    <mergeCell ref="D79:N80"/>
    <mergeCell ref="C77:C80"/>
    <mergeCell ref="D70:N72"/>
    <mergeCell ref="C64:C72"/>
    <mergeCell ref="D74:N75"/>
    <mergeCell ref="C74:C75"/>
    <mergeCell ref="D77:N78"/>
    <mergeCell ref="C43:N44"/>
    <mergeCell ref="C46:N49"/>
    <mergeCell ref="C83:N83"/>
    <mergeCell ref="E94:N95"/>
    <mergeCell ref="C98:D99"/>
    <mergeCell ref="C100:D101"/>
    <mergeCell ref="C96:D97"/>
    <mergeCell ref="C92:D93"/>
    <mergeCell ref="C94:D95"/>
    <mergeCell ref="E92:N93"/>
    <mergeCell ref="C105:N105"/>
    <mergeCell ref="E102:N103"/>
    <mergeCell ref="E100:N101"/>
    <mergeCell ref="E98:N99"/>
    <mergeCell ref="E96:N97"/>
    <mergeCell ref="C102:D103"/>
  </mergeCells>
  <hyperlinks>
    <hyperlink ref="N107" location="Betriebsdaten!A1" display="WEITER"/>
    <hyperlink ref="E87" r:id="rId1"/>
    <hyperlink ref="E94" r:id="rId2"/>
    <hyperlink ref="E98" r:id="rId3"/>
    <hyperlink ref="E100" r:id="rId4"/>
    <hyperlink ref="E89" r:id="rId5"/>
    <hyperlink ref="E96" r:id="rId6"/>
    <hyperlink ref="E92" r:id="rId7"/>
    <hyperlink ref="E102" r:id="rId8"/>
    <hyperlink ref="D57" r:id="rId9"/>
  </hyperlinks>
  <pageMargins left="0.7" right="0.7" top="0.78740157499999996" bottom="0.78740157499999996" header="0.3" footer="0.3"/>
  <pageSetup paperSize="8" orientation="landscape" r:id="rId10"/>
  <drawing r:id="rId1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35"/>
  <sheetViews>
    <sheetView zoomScale="130" zoomScaleNormal="130" workbookViewId="0">
      <selection activeCell="J15" sqref="J15"/>
    </sheetView>
  </sheetViews>
  <sheetFormatPr baseColWidth="10" defaultRowHeight="15" x14ac:dyDescent="0.25"/>
  <cols>
    <col min="1" max="1" width="11.42578125" style="51"/>
    <col min="2" max="2" width="11.7109375" style="51" customWidth="1"/>
    <col min="3" max="3" width="14.85546875" style="51" customWidth="1"/>
    <col min="4" max="4" width="11.42578125" style="51"/>
    <col min="5" max="5" width="12.7109375" style="51" customWidth="1"/>
    <col min="6" max="6" width="9.7109375" style="51" customWidth="1"/>
    <col min="7" max="7" width="10.85546875" style="51" customWidth="1"/>
    <col min="8" max="8" width="20.42578125" style="51" customWidth="1"/>
    <col min="9" max="9" width="3.42578125" style="51" customWidth="1"/>
    <col min="10" max="10" width="12.7109375" style="51" customWidth="1"/>
    <col min="11" max="11" width="10.140625" style="51" customWidth="1"/>
    <col min="12" max="12" width="13.140625" style="51" customWidth="1"/>
    <col min="13" max="13" width="11.42578125" style="51"/>
    <col min="14" max="14" width="9.7109375" style="51" customWidth="1"/>
    <col min="15" max="15" width="11.7109375" style="63" customWidth="1"/>
    <col min="16" max="44" width="11.42578125" style="51"/>
  </cols>
  <sheetData>
    <row r="1" spans="2:16" ht="15.75" thickBot="1" x14ac:dyDescent="0.3"/>
    <row r="2" spans="2:16" x14ac:dyDescent="0.25">
      <c r="B2" s="118"/>
      <c r="C2" s="119"/>
      <c r="D2" s="119"/>
      <c r="E2" s="119"/>
      <c r="F2" s="119"/>
      <c r="G2" s="119"/>
      <c r="H2" s="119"/>
      <c r="I2" s="119"/>
      <c r="J2" s="119"/>
      <c r="K2" s="119"/>
      <c r="L2" s="119"/>
      <c r="M2" s="119"/>
      <c r="N2" s="119"/>
      <c r="O2" s="120"/>
    </row>
    <row r="3" spans="2:16" x14ac:dyDescent="0.25">
      <c r="B3" s="111"/>
      <c r="C3" s="103"/>
      <c r="D3" s="103"/>
      <c r="E3" s="114"/>
      <c r="F3" s="114"/>
      <c r="G3" s="103"/>
      <c r="H3" s="103"/>
      <c r="I3" s="114"/>
      <c r="J3" s="103"/>
      <c r="K3" s="103"/>
      <c r="L3" s="114"/>
      <c r="M3" s="114"/>
      <c r="N3" s="114"/>
      <c r="O3" s="112"/>
    </row>
    <row r="4" spans="2:16" ht="18.75" x14ac:dyDescent="0.25">
      <c r="B4" s="111"/>
      <c r="C4" s="589" t="s">
        <v>131</v>
      </c>
      <c r="D4" s="589"/>
      <c r="E4" s="589"/>
      <c r="F4" s="589"/>
      <c r="G4" s="589"/>
      <c r="H4" s="589"/>
      <c r="I4" s="589"/>
      <c r="J4" s="589"/>
      <c r="K4" s="589"/>
      <c r="L4" s="589"/>
      <c r="M4" s="589"/>
      <c r="N4" s="589"/>
      <c r="O4" s="112"/>
    </row>
    <row r="5" spans="2:16" ht="15.75" thickBot="1" x14ac:dyDescent="0.3">
      <c r="B5" s="111"/>
      <c r="C5" s="114"/>
      <c r="D5" s="114"/>
      <c r="E5" s="114"/>
      <c r="F5" s="114"/>
      <c r="G5" s="114"/>
      <c r="H5" s="114"/>
      <c r="I5" s="114"/>
      <c r="J5" s="114"/>
      <c r="K5" s="114"/>
      <c r="L5" s="114"/>
      <c r="M5" s="114"/>
      <c r="N5" s="114"/>
      <c r="O5" s="112"/>
    </row>
    <row r="6" spans="2:16" ht="16.5" thickTop="1" thickBot="1" x14ac:dyDescent="0.3">
      <c r="B6" s="111"/>
      <c r="C6" s="133"/>
      <c r="D6" s="124"/>
      <c r="E6" s="124"/>
      <c r="F6" s="124"/>
      <c r="G6" s="124"/>
      <c r="H6" s="124"/>
      <c r="I6" s="124"/>
      <c r="J6" s="124"/>
      <c r="K6" s="124"/>
      <c r="L6" s="124"/>
      <c r="M6" s="124"/>
      <c r="N6" s="134"/>
      <c r="O6" s="112"/>
    </row>
    <row r="7" spans="2:16" ht="15.75" thickBot="1" x14ac:dyDescent="0.3">
      <c r="B7" s="111"/>
      <c r="C7" s="420" t="s">
        <v>0</v>
      </c>
      <c r="D7" s="63"/>
      <c r="E7" s="583" t="s">
        <v>70</v>
      </c>
      <c r="F7" s="584"/>
      <c r="G7" s="50"/>
      <c r="H7" s="50"/>
      <c r="I7" s="50"/>
      <c r="J7" s="50"/>
      <c r="K7" s="50"/>
      <c r="L7" s="50"/>
      <c r="M7" s="50"/>
      <c r="N7" s="126"/>
      <c r="O7" s="112"/>
    </row>
    <row r="8" spans="2:16" ht="15.75" thickBot="1" x14ac:dyDescent="0.3">
      <c r="B8" s="111"/>
      <c r="C8" s="125"/>
      <c r="D8" s="63"/>
      <c r="E8" s="50"/>
      <c r="F8" s="50"/>
      <c r="G8" s="50"/>
      <c r="H8" s="50"/>
      <c r="I8" s="50"/>
      <c r="J8" s="50"/>
      <c r="K8" s="50"/>
      <c r="L8" s="50" t="s">
        <v>237</v>
      </c>
      <c r="M8" s="50"/>
      <c r="N8" s="126"/>
      <c r="O8" s="112"/>
    </row>
    <row r="9" spans="2:16" ht="15.75" thickBot="1" x14ac:dyDescent="0.3">
      <c r="B9" s="111"/>
      <c r="C9" s="125" t="s">
        <v>1</v>
      </c>
      <c r="D9" s="63"/>
      <c r="E9" s="216"/>
      <c r="F9" s="136" t="s">
        <v>97</v>
      </c>
      <c r="G9" s="137" t="str">
        <f>IF(E9+E10+E11+E12&gt;0,IF(AND(E9=(E10+E11+E12),OR(E9&gt;=1,E9=0),E10-(E17-E18)&gt;=0),TRUE,FALSE),"-")</f>
        <v>-</v>
      </c>
      <c r="H9" s="136" t="s">
        <v>349</v>
      </c>
      <c r="I9" s="136"/>
      <c r="J9" s="422"/>
      <c r="K9" s="50" t="s">
        <v>4</v>
      </c>
      <c r="L9" s="63" t="s">
        <v>238</v>
      </c>
      <c r="M9" s="213"/>
      <c r="N9" s="126"/>
      <c r="O9" s="112"/>
    </row>
    <row r="10" spans="2:16" ht="15.75" thickBot="1" x14ac:dyDescent="0.3">
      <c r="B10" s="111"/>
      <c r="C10" s="125" t="s">
        <v>67</v>
      </c>
      <c r="D10" s="63"/>
      <c r="E10" s="216"/>
      <c r="F10" s="136" t="s">
        <v>97</v>
      </c>
      <c r="G10" s="138" t="str">
        <f>IF(E9+E10+E11+E12&gt;0,IF(E10=(E9-E11-E12),TRUE,FALSE),"-")</f>
        <v>-</v>
      </c>
      <c r="H10" s="139" t="s">
        <v>86</v>
      </c>
      <c r="I10" s="136"/>
      <c r="J10" s="136"/>
      <c r="K10" s="50"/>
      <c r="L10" s="50"/>
      <c r="M10" s="50"/>
      <c r="N10" s="127"/>
      <c r="O10" s="121"/>
      <c r="P10" s="63"/>
    </row>
    <row r="11" spans="2:16" ht="15.75" thickBot="1" x14ac:dyDescent="0.3">
      <c r="B11" s="111"/>
      <c r="C11" s="125" t="s">
        <v>102</v>
      </c>
      <c r="D11" s="63"/>
      <c r="E11" s="216"/>
      <c r="F11" s="136" t="s">
        <v>97</v>
      </c>
      <c r="G11" s="138" t="str">
        <f>IF(E9+E10+E11+E12&gt;0,IF(E11=(E9-E10-E12),TRUE,FALSE),"-")</f>
        <v>-</v>
      </c>
      <c r="H11" s="585" t="s">
        <v>348</v>
      </c>
      <c r="I11" s="586"/>
      <c r="J11" s="422"/>
      <c r="K11" s="50" t="s">
        <v>4</v>
      </c>
      <c r="L11" s="50" t="s">
        <v>239</v>
      </c>
      <c r="M11" s="213"/>
      <c r="N11" s="127"/>
      <c r="O11" s="112"/>
      <c r="P11" s="63"/>
    </row>
    <row r="12" spans="2:16" ht="15.75" thickBot="1" x14ac:dyDescent="0.3">
      <c r="B12" s="111"/>
      <c r="C12" s="128" t="s">
        <v>68</v>
      </c>
      <c r="D12" s="63"/>
      <c r="E12" s="216"/>
      <c r="F12" s="136" t="s">
        <v>97</v>
      </c>
      <c r="G12" s="138" t="str">
        <f>IF(E9+E10+E11+E12&gt;0,IF(E12+E10+E11=E9,TRUE,FALSE),"-")</f>
        <v>-</v>
      </c>
      <c r="H12" s="136" t="s">
        <v>103</v>
      </c>
      <c r="I12" s="136"/>
      <c r="J12" s="415">
        <f>IF(OR(M9="ja",M11="ja"),J13,IF(Rechner!AH34&gt;J13,Rechner!AH34,Betriebsdaten!J13))</f>
        <v>0</v>
      </c>
      <c r="K12" s="67" t="s">
        <v>232</v>
      </c>
      <c r="L12" s="63"/>
      <c r="M12" s="63"/>
      <c r="N12" s="127"/>
      <c r="O12" s="112"/>
    </row>
    <row r="13" spans="2:16" ht="15.75" thickBot="1" x14ac:dyDescent="0.3">
      <c r="B13" s="111"/>
      <c r="C13" s="104"/>
      <c r="D13" s="63"/>
      <c r="E13" s="140"/>
      <c r="F13" s="140"/>
      <c r="G13" s="136"/>
      <c r="H13" s="51" t="s">
        <v>231</v>
      </c>
      <c r="J13" s="213"/>
      <c r="K13" s="416" t="s">
        <v>369</v>
      </c>
      <c r="N13" s="127"/>
      <c r="O13" s="112"/>
    </row>
    <row r="14" spans="2:16" ht="15.75" thickBot="1" x14ac:dyDescent="0.3">
      <c r="B14" s="111"/>
      <c r="C14" s="587" t="s">
        <v>213</v>
      </c>
      <c r="D14" s="588"/>
      <c r="E14" s="216"/>
      <c r="F14" s="136" t="s">
        <v>224</v>
      </c>
      <c r="G14" s="400" t="str">
        <f>IF(E14&gt;0,IF(E14&lt;=E11,TRUE,FALSE),"-")</f>
        <v>-</v>
      </c>
      <c r="H14" s="50"/>
      <c r="I14" s="50"/>
      <c r="J14" s="141" t="s">
        <v>79</v>
      </c>
      <c r="K14" s="65"/>
      <c r="L14" s="102"/>
      <c r="M14" s="102"/>
      <c r="N14" s="129"/>
      <c r="O14" s="123"/>
    </row>
    <row r="15" spans="2:16" ht="15.75" customHeight="1" thickBot="1" x14ac:dyDescent="0.3">
      <c r="B15" s="111"/>
      <c r="C15" s="587"/>
      <c r="D15" s="588"/>
      <c r="E15" s="140"/>
      <c r="F15" s="140"/>
      <c r="G15" s="140"/>
      <c r="H15" s="319" t="s">
        <v>214</v>
      </c>
      <c r="I15" s="50"/>
      <c r="J15" s="216"/>
      <c r="K15" s="63"/>
      <c r="L15" s="592"/>
      <c r="M15" s="592"/>
      <c r="N15" s="130"/>
      <c r="O15" s="123"/>
    </row>
    <row r="16" spans="2:16" ht="15.75" thickBot="1" x14ac:dyDescent="0.3">
      <c r="B16" s="111"/>
      <c r="C16" s="125" t="s">
        <v>98</v>
      </c>
      <c r="D16" s="63"/>
      <c r="E16" s="401">
        <f>MAX(0,E11-E14)</f>
        <v>0</v>
      </c>
      <c r="F16" s="136" t="s">
        <v>223</v>
      </c>
      <c r="G16" s="138" t="str">
        <f>IF(E11&gt;0,IF(E18&lt;=E14,TRUE,FALSE),"-")</f>
        <v>-</v>
      </c>
      <c r="H16" s="136"/>
      <c r="I16" s="136"/>
      <c r="J16" s="136"/>
      <c r="K16" s="50"/>
      <c r="L16" s="592"/>
      <c r="M16" s="592"/>
      <c r="N16" s="130"/>
      <c r="O16" s="123"/>
    </row>
    <row r="17" spans="2:15" ht="15.75" thickBot="1" x14ac:dyDescent="0.3">
      <c r="B17" s="111"/>
      <c r="C17" s="419" t="s">
        <v>233</v>
      </c>
      <c r="D17" s="63"/>
      <c r="E17" s="216"/>
      <c r="F17" s="136" t="s">
        <v>240</v>
      </c>
      <c r="G17" s="136"/>
      <c r="H17" s="136"/>
      <c r="I17" s="136"/>
      <c r="J17" s="136"/>
      <c r="K17" s="50"/>
      <c r="L17" s="592"/>
      <c r="M17" s="592"/>
      <c r="N17" s="130"/>
      <c r="O17" s="112"/>
    </row>
    <row r="18" spans="2:15" ht="15.75" thickBot="1" x14ac:dyDescent="0.3">
      <c r="B18" s="111"/>
      <c r="C18" s="128" t="s">
        <v>212</v>
      </c>
      <c r="D18" s="63"/>
      <c r="E18" s="216"/>
      <c r="F18" s="136" t="s">
        <v>225</v>
      </c>
      <c r="G18" s="138" t="str">
        <f>IF(E18&gt;E11,FALSE,"-")</f>
        <v>-</v>
      </c>
      <c r="K18" s="50"/>
      <c r="L18" s="50"/>
      <c r="M18" s="50"/>
      <c r="N18" s="130"/>
      <c r="O18" s="112"/>
    </row>
    <row r="19" spans="2:15" ht="15.75" thickBot="1" x14ac:dyDescent="0.3">
      <c r="B19" s="111"/>
      <c r="C19" s="128"/>
      <c r="D19" s="50"/>
      <c r="E19" s="136"/>
      <c r="F19" s="136"/>
      <c r="G19" s="136"/>
      <c r="H19" s="590" t="s">
        <v>177</v>
      </c>
      <c r="I19" s="591"/>
      <c r="J19" s="216"/>
      <c r="K19" s="50" t="s">
        <v>202</v>
      </c>
      <c r="L19" s="389" t="str">
        <f>IF(J19&lt;=E9,"-",FALSE)</f>
        <v>-</v>
      </c>
      <c r="M19" s="50"/>
      <c r="N19" s="130"/>
      <c r="O19" s="112"/>
    </row>
    <row r="20" spans="2:15" ht="15.75" thickBot="1" x14ac:dyDescent="0.3">
      <c r="B20" s="320"/>
      <c r="C20" s="136" t="s">
        <v>216</v>
      </c>
      <c r="D20" s="136"/>
      <c r="E20" s="216"/>
      <c r="F20" s="136" t="s">
        <v>2</v>
      </c>
      <c r="G20" s="136"/>
      <c r="N20" s="130"/>
      <c r="O20" s="112"/>
    </row>
    <row r="21" spans="2:15" ht="15.75" thickBot="1" x14ac:dyDescent="0.3">
      <c r="B21" s="320"/>
      <c r="F21" s="136"/>
      <c r="G21" s="136"/>
      <c r="H21" s="51" t="s">
        <v>230</v>
      </c>
      <c r="J21" s="213"/>
      <c r="K21" s="406" t="s">
        <v>228</v>
      </c>
      <c r="L21" s="63"/>
      <c r="M21" s="63"/>
      <c r="N21" s="127"/>
      <c r="O21" s="112"/>
    </row>
    <row r="22" spans="2:15" ht="15.75" thickBot="1" x14ac:dyDescent="0.3">
      <c r="B22" s="320"/>
      <c r="C22" s="131"/>
      <c r="D22" s="131"/>
      <c r="E22" s="131"/>
      <c r="F22" s="131"/>
      <c r="G22" s="131"/>
      <c r="H22" s="131"/>
      <c r="I22" s="131"/>
      <c r="J22" s="131"/>
      <c r="K22" s="131"/>
      <c r="L22" s="131"/>
      <c r="M22" s="131"/>
      <c r="N22" s="132"/>
      <c r="O22" s="112"/>
    </row>
    <row r="23" spans="2:15" ht="15.75" thickTop="1" x14ac:dyDescent="0.25">
      <c r="B23" s="111"/>
      <c r="C23" s="114"/>
      <c r="D23" s="114"/>
      <c r="E23" s="114"/>
      <c r="F23" s="114"/>
      <c r="G23" s="114"/>
      <c r="H23" s="114"/>
      <c r="I23" s="114"/>
      <c r="J23" s="114"/>
      <c r="K23" s="114"/>
      <c r="L23" s="114"/>
      <c r="M23" s="114"/>
      <c r="N23" s="114"/>
      <c r="O23" s="112"/>
    </row>
    <row r="24" spans="2:15" x14ac:dyDescent="0.25">
      <c r="B24" s="111"/>
      <c r="C24" s="114"/>
      <c r="D24" s="114"/>
      <c r="E24" s="114"/>
      <c r="F24" s="114"/>
      <c r="G24" s="114"/>
      <c r="H24" s="114"/>
      <c r="I24" s="114"/>
      <c r="J24" s="114"/>
      <c r="K24" s="114"/>
      <c r="L24" s="114"/>
      <c r="M24" s="114"/>
      <c r="N24" s="135" t="s">
        <v>128</v>
      </c>
      <c r="O24" s="112"/>
    </row>
    <row r="25" spans="2:15" x14ac:dyDescent="0.25">
      <c r="B25" s="111"/>
      <c r="C25" s="114"/>
      <c r="D25" s="114"/>
      <c r="E25" s="114"/>
      <c r="F25" s="114"/>
      <c r="G25" s="114"/>
      <c r="H25" s="114"/>
      <c r="I25" s="114"/>
      <c r="J25" s="114"/>
      <c r="K25" s="114"/>
      <c r="L25" s="114"/>
      <c r="M25" s="114"/>
      <c r="N25" s="114"/>
      <c r="O25" s="112"/>
    </row>
    <row r="26" spans="2:15" ht="15.75" thickBot="1" x14ac:dyDescent="0.3">
      <c r="B26" s="115"/>
      <c r="C26" s="116"/>
      <c r="D26" s="116"/>
      <c r="E26" s="116"/>
      <c r="F26" s="116"/>
      <c r="G26" s="116"/>
      <c r="H26" s="116"/>
      <c r="I26" s="116"/>
      <c r="J26" s="116"/>
      <c r="K26" s="116"/>
      <c r="L26" s="116"/>
      <c r="M26" s="116"/>
      <c r="N26" s="116"/>
      <c r="O26" s="117"/>
    </row>
    <row r="30" spans="2:15" hidden="1" x14ac:dyDescent="0.25"/>
    <row r="31" spans="2:15" ht="15.75" hidden="1" thickBot="1" x14ac:dyDescent="0.3"/>
    <row r="32" spans="2:15" ht="15.75" hidden="1" thickBot="1" x14ac:dyDescent="0.3">
      <c r="H32" s="582" t="s">
        <v>178</v>
      </c>
      <c r="I32" s="304" t="s">
        <v>42</v>
      </c>
      <c r="J32" s="302"/>
    </row>
    <row r="33" spans="8:10" ht="15.75" hidden="1" thickBot="1" x14ac:dyDescent="0.3">
      <c r="H33" s="582"/>
      <c r="I33" s="304" t="s">
        <v>107</v>
      </c>
      <c r="J33" s="305"/>
    </row>
    <row r="34" spans="8:10" hidden="1" x14ac:dyDescent="0.25"/>
    <row r="35" spans="8:10" hidden="1" x14ac:dyDescent="0.25"/>
  </sheetData>
  <sheetProtection algorithmName="SHA-512" hashValue="LD220AQhYGIi0Xpjk9VQ15t1lt72sX4qEyH+o77b3tl+4sHwpN3/Kr9P30pAVk3TCNoM+s5M/g9OufS5Cyb66A==" saltValue="WR9+L5i/NyQLFtPiRBH/6g==" spinCount="100000" sheet="1" objects="1" scenarios="1" selectLockedCells="1"/>
  <mergeCells count="7">
    <mergeCell ref="H32:H33"/>
    <mergeCell ref="E7:F7"/>
    <mergeCell ref="H11:I11"/>
    <mergeCell ref="C14:D15"/>
    <mergeCell ref="C4:N4"/>
    <mergeCell ref="H19:I19"/>
    <mergeCell ref="L15:M17"/>
  </mergeCells>
  <conditionalFormatting sqref="G9:G12">
    <cfRule type="containsText" dxfId="126" priority="8" operator="containsText" text="FALSCH">
      <formula>NOT(ISERROR(SEARCH("FALSCH",G9)))</formula>
    </cfRule>
    <cfRule type="containsText" dxfId="125" priority="9" operator="containsText" text="WAHR">
      <formula>NOT(ISERROR(SEARCH("WAHR",G9)))</formula>
    </cfRule>
    <cfRule type="containsText" dxfId="124" priority="10" operator="containsText" text="WAHR">
      <formula>NOT(ISERROR(SEARCH("WAHR",G9)))</formula>
    </cfRule>
    <cfRule type="containsText" dxfId="123" priority="11" operator="containsText" text="FALSCH">
      <formula>NOT(ISERROR(SEARCH("FALSCH",G9)))</formula>
    </cfRule>
  </conditionalFormatting>
  <conditionalFormatting sqref="L19">
    <cfRule type="containsText" dxfId="122" priority="6" operator="containsText" text="FALSCH">
      <formula>NOT(ISERROR(SEARCH("FALSCH",L19)))</formula>
    </cfRule>
    <cfRule type="containsText" dxfId="121" priority="7" operator="containsText" text="WAHR">
      <formula>NOT(ISERROR(SEARCH("WAHR",L19)))</formula>
    </cfRule>
  </conditionalFormatting>
  <conditionalFormatting sqref="G16">
    <cfRule type="containsText" dxfId="120" priority="4" operator="containsText" text="FALSCH">
      <formula>NOT(ISERROR(SEARCH("FALSCH",G16)))</formula>
    </cfRule>
    <cfRule type="containsText" dxfId="119" priority="5" operator="containsText" text="WAHR">
      <formula>NOT(ISERROR(SEARCH("WAHR",G16)))</formula>
    </cfRule>
  </conditionalFormatting>
  <conditionalFormatting sqref="G14">
    <cfRule type="containsText" dxfId="118" priority="2" operator="containsText" text="WAHR">
      <formula>NOT(ISERROR(SEARCH("WAHR",G14)))</formula>
    </cfRule>
    <cfRule type="containsText" dxfId="117" priority="3" operator="containsText" text="FALSCH">
      <formula>NOT(ISERROR(SEARCH("FALSCH",G14)))</formula>
    </cfRule>
  </conditionalFormatting>
  <conditionalFormatting sqref="G18">
    <cfRule type="containsText" dxfId="116" priority="1" operator="containsText" text="FALSCH">
      <formula>NOT(ISERROR(SEARCH("FALSCH",G18)))</formula>
    </cfRule>
  </conditionalFormatting>
  <dataValidations count="2">
    <dataValidation type="list" allowBlank="1" showInputMessage="1" showErrorMessage="1" sqref="J21">
      <formula1>"ja,"</formula1>
    </dataValidation>
    <dataValidation type="list" allowBlank="1" showInputMessage="1" showErrorMessage="1" sqref="M9 M11">
      <formula1>"ja, "</formula1>
    </dataValidation>
  </dataValidations>
  <hyperlinks>
    <hyperlink ref="N24" location="Rechner!A1" display="WEITER"/>
  </hyperlinks>
  <pageMargins left="0.70866141732283472" right="0.70866141732283472" top="0.78740157480314965" bottom="0.78740157480314965" header="0.31496062992125984" footer="0.31496062992125984"/>
  <pageSetup paperSize="9" scale="7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V225"/>
  <sheetViews>
    <sheetView topLeftCell="A7" zoomScale="130" zoomScaleNormal="130" workbookViewId="0">
      <selection activeCell="D28" sqref="D28"/>
    </sheetView>
  </sheetViews>
  <sheetFormatPr baseColWidth="10" defaultRowHeight="15" x14ac:dyDescent="0.25"/>
  <cols>
    <col min="1" max="1" width="14.140625" customWidth="1"/>
    <col min="2" max="2" width="11.140625" customWidth="1"/>
    <col min="3" max="4" width="10.5703125" customWidth="1"/>
    <col min="5" max="5" width="6.7109375" customWidth="1"/>
    <col min="6" max="6" width="43" bestFit="1" customWidth="1"/>
    <col min="7" max="7" width="11.42578125" customWidth="1"/>
    <col min="8" max="8" width="13" customWidth="1"/>
    <col min="9" max="11" width="12" bestFit="1" customWidth="1"/>
    <col min="15" max="15" width="14.140625" customWidth="1"/>
    <col min="19" max="19" width="11.42578125" customWidth="1"/>
    <col min="20" max="20" width="11.85546875" style="51" hidden="1" customWidth="1"/>
    <col min="21" max="21" width="14" style="51" hidden="1" customWidth="1"/>
    <col min="22" max="22" width="21.140625" style="51" hidden="1" customWidth="1"/>
    <col min="23" max="23" width="9.85546875" style="51" hidden="1" customWidth="1"/>
    <col min="24" max="24" width="12.42578125" style="51" hidden="1" customWidth="1"/>
    <col min="25" max="25" width="10.28515625" style="51" hidden="1" customWidth="1"/>
    <col min="26" max="26" width="19.7109375" style="51" hidden="1" customWidth="1"/>
    <col min="27" max="27" width="13" style="51" hidden="1" customWidth="1"/>
    <col min="28" max="28" width="16.42578125" style="51" hidden="1" customWidth="1"/>
    <col min="29" max="29" width="11.28515625" style="51" hidden="1" customWidth="1"/>
    <col min="30" max="30" width="13.140625" style="51" hidden="1" customWidth="1"/>
    <col min="31" max="31" width="11.7109375" style="51" hidden="1" customWidth="1"/>
    <col min="32" max="32" width="8.28515625" style="51" hidden="1" customWidth="1"/>
    <col min="33" max="33" width="13.28515625" style="51" hidden="1" customWidth="1"/>
    <col min="34" max="34" width="11" style="51" hidden="1" customWidth="1"/>
    <col min="35" max="35" width="21.140625" style="51" hidden="1" customWidth="1"/>
    <col min="36" max="36" width="14" style="51" hidden="1" customWidth="1"/>
    <col min="37" max="37" width="14.28515625" style="51" hidden="1" customWidth="1"/>
    <col min="38" max="38" width="12.28515625" style="51" hidden="1" customWidth="1"/>
    <col min="39" max="39" width="19.7109375" style="51" hidden="1" customWidth="1"/>
    <col min="40" max="40" width="0" style="51" hidden="1" customWidth="1"/>
    <col min="41" max="48" width="11.42578125" style="51"/>
  </cols>
  <sheetData>
    <row r="1" spans="1:48" s="51" customFormat="1" x14ac:dyDescent="0.25">
      <c r="A1" s="103"/>
      <c r="B1" s="103"/>
      <c r="C1" s="103"/>
      <c r="D1" s="103"/>
      <c r="E1" s="103"/>
      <c r="F1" s="103"/>
      <c r="G1" s="103"/>
      <c r="H1" s="103"/>
      <c r="I1" s="103"/>
      <c r="J1" s="103"/>
      <c r="K1" s="103"/>
      <c r="L1" s="103"/>
      <c r="M1" s="103"/>
      <c r="N1" s="103"/>
      <c r="O1" s="103"/>
      <c r="P1" s="103"/>
      <c r="Q1" s="103"/>
      <c r="R1" s="103"/>
      <c r="S1" s="103"/>
    </row>
    <row r="2" spans="1:48" s="51" customFormat="1" x14ac:dyDescent="0.25">
      <c r="A2" s="103"/>
      <c r="B2" s="103"/>
      <c r="C2" s="103"/>
      <c r="D2" s="114"/>
      <c r="E2" s="103"/>
      <c r="F2" s="103"/>
      <c r="G2" s="103"/>
      <c r="H2" s="103"/>
      <c r="I2" s="103"/>
      <c r="J2" s="103"/>
      <c r="K2" s="103"/>
      <c r="L2" s="103"/>
      <c r="M2" s="103"/>
      <c r="N2" s="103"/>
      <c r="O2" s="103"/>
      <c r="P2" s="103"/>
      <c r="Q2" s="103"/>
      <c r="R2" s="103"/>
      <c r="S2" s="103"/>
    </row>
    <row r="3" spans="1:48" s="51" customFormat="1" ht="18.75" customHeight="1" x14ac:dyDescent="0.25">
      <c r="A3" s="103"/>
      <c r="B3" s="589" t="s">
        <v>343</v>
      </c>
      <c r="C3" s="589"/>
      <c r="D3" s="589"/>
      <c r="E3" s="589"/>
      <c r="F3" s="589"/>
      <c r="G3" s="589"/>
      <c r="H3" s="589"/>
      <c r="I3" s="589"/>
      <c r="J3" s="589"/>
      <c r="K3" s="589"/>
      <c r="L3" s="589"/>
      <c r="M3" s="589"/>
      <c r="N3" s="589"/>
      <c r="O3" s="103"/>
      <c r="P3" s="103"/>
      <c r="Q3" s="103"/>
      <c r="R3" s="103"/>
      <c r="S3" s="103"/>
    </row>
    <row r="4" spans="1:48" s="51" customFormat="1" ht="15.75" thickBot="1" x14ac:dyDescent="0.3">
      <c r="A4" s="103"/>
      <c r="B4" s="103"/>
      <c r="C4" s="103"/>
      <c r="D4" s="103"/>
      <c r="E4" s="103"/>
      <c r="F4" s="103"/>
      <c r="G4" s="103"/>
      <c r="H4" s="103"/>
      <c r="I4" s="103"/>
      <c r="J4" s="103"/>
      <c r="K4" s="103"/>
      <c r="L4" s="103"/>
      <c r="M4" s="103"/>
      <c r="N4" s="103"/>
      <c r="O4" s="103"/>
      <c r="P4" s="103"/>
      <c r="Q4" s="103"/>
      <c r="R4" s="103"/>
      <c r="S4" s="103"/>
    </row>
    <row r="5" spans="1:48" s="11" customFormat="1" ht="16.5" thickTop="1" thickBot="1" x14ac:dyDescent="0.3">
      <c r="A5" s="232"/>
      <c r="B5" s="235"/>
      <c r="C5" s="236"/>
      <c r="D5" s="236"/>
      <c r="E5" s="236"/>
      <c r="F5" s="236"/>
      <c r="G5" s="236"/>
      <c r="H5" s="236"/>
      <c r="I5" s="236"/>
      <c r="J5" s="236"/>
      <c r="K5" s="236"/>
      <c r="L5" s="236"/>
      <c r="M5" s="237"/>
      <c r="N5" s="238"/>
      <c r="O5" s="232"/>
      <c r="P5" s="232"/>
      <c r="Q5" s="232"/>
      <c r="R5" s="232"/>
      <c r="S5" s="232"/>
      <c r="T5" s="53"/>
      <c r="U5" s="53"/>
      <c r="V5" s="53"/>
      <c r="W5" s="53"/>
      <c r="X5" s="53"/>
      <c r="Y5" s="53"/>
      <c r="Z5" s="53"/>
      <c r="AA5" s="53"/>
      <c r="AB5" s="53"/>
      <c r="AC5" s="53"/>
      <c r="AD5" s="53"/>
      <c r="AE5" s="66" t="s">
        <v>9</v>
      </c>
      <c r="AF5" s="66" t="s">
        <v>10</v>
      </c>
      <c r="AG5" s="66" t="s">
        <v>10</v>
      </c>
      <c r="AH5" s="66" t="s">
        <v>10</v>
      </c>
      <c r="AI5" s="66" t="s">
        <v>10</v>
      </c>
      <c r="AJ5" s="66" t="s">
        <v>10</v>
      </c>
      <c r="AK5" s="68" t="s">
        <v>11</v>
      </c>
      <c r="AL5" s="52"/>
      <c r="AM5" s="52"/>
      <c r="AN5" s="52"/>
      <c r="AO5" s="53"/>
      <c r="AP5" s="53"/>
      <c r="AQ5" s="53"/>
      <c r="AR5" s="53"/>
      <c r="AS5" s="53"/>
      <c r="AT5" s="53"/>
      <c r="AU5" s="53"/>
      <c r="AV5" s="53"/>
    </row>
    <row r="6" spans="1:48" s="11" customFormat="1" ht="15.75" thickBot="1" x14ac:dyDescent="0.3">
      <c r="A6" s="256"/>
      <c r="B6" s="255" t="s">
        <v>131</v>
      </c>
      <c r="C6" s="201"/>
      <c r="E6" s="69"/>
      <c r="F6" s="50"/>
      <c r="G6" s="50"/>
      <c r="H6" s="50"/>
      <c r="I6" s="50"/>
      <c r="J6" s="50"/>
      <c r="K6" s="50"/>
      <c r="L6" s="50"/>
      <c r="M6" s="50"/>
      <c r="N6" s="126"/>
      <c r="O6" s="232"/>
      <c r="P6" s="232"/>
      <c r="Q6" s="232"/>
      <c r="R6" s="232"/>
      <c r="S6" s="329"/>
      <c r="T6" s="52"/>
      <c r="U6" s="52"/>
      <c r="V6" s="52"/>
      <c r="W6" s="52"/>
      <c r="X6" s="52"/>
      <c r="Y6" s="52"/>
      <c r="Z6" s="52"/>
      <c r="AA6" s="52"/>
      <c r="AB6" s="52"/>
      <c r="AC6" s="52"/>
      <c r="AD6" s="52"/>
      <c r="AE6" s="66" t="s">
        <v>12</v>
      </c>
      <c r="AF6" s="52" t="s">
        <v>80</v>
      </c>
      <c r="AG6" s="52"/>
      <c r="AH6" s="52"/>
      <c r="AI6" s="52"/>
      <c r="AJ6" s="52"/>
      <c r="AK6" s="66" t="s">
        <v>12</v>
      </c>
      <c r="AL6" s="52"/>
      <c r="AM6" s="52"/>
      <c r="AN6" s="52"/>
      <c r="AO6" s="53"/>
      <c r="AP6" s="53"/>
      <c r="AQ6" s="53"/>
      <c r="AR6" s="53"/>
      <c r="AS6" s="53"/>
      <c r="AT6" s="53"/>
      <c r="AU6" s="53"/>
      <c r="AV6" s="53"/>
    </row>
    <row r="7" spans="1:48" x14ac:dyDescent="0.25">
      <c r="A7" s="257"/>
      <c r="B7" s="63"/>
      <c r="C7" s="63"/>
      <c r="D7" s="69"/>
      <c r="E7" s="69"/>
      <c r="F7" s="184"/>
      <c r="G7" s="185"/>
      <c r="H7" s="186">
        <v>2021</v>
      </c>
      <c r="I7" s="186">
        <v>2022</v>
      </c>
      <c r="J7" s="186">
        <v>2023</v>
      </c>
      <c r="K7" s="186">
        <v>2024</v>
      </c>
      <c r="L7" s="187">
        <v>2025</v>
      </c>
      <c r="M7" s="188">
        <v>2026</v>
      </c>
      <c r="N7" s="598"/>
      <c r="O7" s="103"/>
      <c r="P7" s="103"/>
      <c r="Q7" s="103"/>
      <c r="R7" s="103"/>
      <c r="S7" s="330"/>
      <c r="T7" s="60"/>
      <c r="U7" s="60"/>
      <c r="V7" s="61" t="s">
        <v>9</v>
      </c>
      <c r="W7" s="66" t="s">
        <v>10</v>
      </c>
      <c r="X7" s="66" t="s">
        <v>10</v>
      </c>
      <c r="Y7" s="66" t="s">
        <v>10</v>
      </c>
      <c r="Z7" s="66" t="s">
        <v>10</v>
      </c>
      <c r="AA7" s="66" t="s">
        <v>10</v>
      </c>
      <c r="AB7" s="66" t="s">
        <v>10</v>
      </c>
      <c r="AC7" s="66" t="s">
        <v>10</v>
      </c>
      <c r="AD7" s="61" t="s">
        <v>10</v>
      </c>
      <c r="AE7" s="66" t="s">
        <v>12</v>
      </c>
      <c r="AF7" s="52">
        <v>2017</v>
      </c>
      <c r="AG7" s="52" t="b">
        <f>IF(Betriebsdaten!J15=2017,TRUE,FALSE)</f>
        <v>0</v>
      </c>
      <c r="AH7" s="52" t="b">
        <f t="shared" ref="AH7:AH12" si="0">IF(AG7=TRUE,44)</f>
        <v>0</v>
      </c>
      <c r="AI7" s="52">
        <v>44</v>
      </c>
      <c r="AJ7" s="52">
        <f>AI7*$AC19</f>
        <v>0</v>
      </c>
      <c r="AK7" s="66" t="s">
        <v>12</v>
      </c>
      <c r="AL7" s="60"/>
      <c r="AM7" s="60"/>
      <c r="AN7" s="60"/>
    </row>
    <row r="8" spans="1:48" x14ac:dyDescent="0.25">
      <c r="A8" s="103"/>
      <c r="B8" s="239" t="s">
        <v>347</v>
      </c>
      <c r="C8" s="414">
        <f>Betriebsdaten!E9</f>
        <v>0</v>
      </c>
      <c r="D8" s="202" t="s">
        <v>2</v>
      </c>
      <c r="E8" s="69"/>
      <c r="F8" s="189" t="s">
        <v>247</v>
      </c>
      <c r="G8" s="40" t="s">
        <v>6</v>
      </c>
      <c r="H8" s="3">
        <v>50.12</v>
      </c>
      <c r="I8" s="3">
        <v>48</v>
      </c>
      <c r="J8" s="3">
        <v>69.16</v>
      </c>
      <c r="K8" s="3">
        <v>69.16</v>
      </c>
      <c r="L8" s="4">
        <v>68.39</v>
      </c>
      <c r="M8" s="190">
        <v>67.23</v>
      </c>
      <c r="N8" s="598"/>
      <c r="O8" s="103"/>
      <c r="P8" s="103"/>
      <c r="Q8" s="103"/>
      <c r="R8" s="103"/>
      <c r="S8" s="330"/>
      <c r="T8" s="60"/>
      <c r="U8" s="60"/>
      <c r="V8" s="61" t="s">
        <v>12</v>
      </c>
      <c r="W8" s="52" t="s">
        <v>73</v>
      </c>
      <c r="X8" s="52" t="s">
        <v>72</v>
      </c>
      <c r="Y8" s="52"/>
      <c r="Z8" s="60"/>
      <c r="AA8" s="60" t="s">
        <v>74</v>
      </c>
      <c r="AB8" s="60" t="s">
        <v>75</v>
      </c>
      <c r="AC8" s="60"/>
      <c r="AD8" s="60"/>
      <c r="AE8" s="66" t="s">
        <v>12</v>
      </c>
      <c r="AF8" s="52">
        <v>2018</v>
      </c>
      <c r="AG8" s="52" t="b">
        <f>IF(Betriebsdaten!J15=2018,TRUE,FALSE)</f>
        <v>0</v>
      </c>
      <c r="AH8" s="52" t="b">
        <f t="shared" si="0"/>
        <v>0</v>
      </c>
      <c r="AI8" s="52">
        <v>44</v>
      </c>
      <c r="AJ8" s="52">
        <f>AI8*$AC19</f>
        <v>0</v>
      </c>
      <c r="AK8" s="66" t="s">
        <v>12</v>
      </c>
      <c r="AL8" s="60"/>
      <c r="AM8" s="60"/>
      <c r="AN8" s="60"/>
    </row>
    <row r="9" spans="1:48" x14ac:dyDescent="0.25">
      <c r="A9" s="103"/>
      <c r="B9" s="240" t="s">
        <v>42</v>
      </c>
      <c r="C9" s="202">
        <f>Betriebsdaten!E10</f>
        <v>0</v>
      </c>
      <c r="D9" s="202" t="s">
        <v>2</v>
      </c>
      <c r="E9" s="69"/>
      <c r="F9" s="191"/>
      <c r="G9" s="32" t="s">
        <v>7</v>
      </c>
      <c r="H9" s="142">
        <f>IF(Betriebsdaten!E9&gt;=1,$AB9*H8,)</f>
        <v>0</v>
      </c>
      <c r="I9" s="142">
        <f>IF(Betriebsdaten!E9&gt;=1,$AB9*I8,)</f>
        <v>0</v>
      </c>
      <c r="J9" s="142">
        <f>IF(Betriebsdaten!E9&gt;=1,($X9)*J8,)</f>
        <v>0</v>
      </c>
      <c r="K9" s="142">
        <f>IF(Betriebsdaten!E9&gt;=1,($X9)*K8,)</f>
        <v>0</v>
      </c>
      <c r="L9" s="142">
        <f>IF(Betriebsdaten!E9&gt;=1,($X9)*L8,)</f>
        <v>0</v>
      </c>
      <c r="M9" s="170">
        <f>IF(Betriebsdaten!E9&gt;=1,($X9)*M8,)</f>
        <v>0</v>
      </c>
      <c r="N9" s="598"/>
      <c r="O9" s="103"/>
      <c r="P9" s="103"/>
      <c r="Q9" s="103"/>
      <c r="R9" s="103"/>
      <c r="S9" s="330"/>
      <c r="T9" s="60"/>
      <c r="U9" s="60"/>
      <c r="V9" s="61" t="s">
        <v>12</v>
      </c>
      <c r="W9" s="52"/>
      <c r="X9" s="69">
        <f>MIN(40,Y9)</f>
        <v>0</v>
      </c>
      <c r="Y9" s="52">
        <f>MAX(0,Betriebsdaten!E9)</f>
        <v>0</v>
      </c>
      <c r="Z9" s="60"/>
      <c r="AA9" s="60"/>
      <c r="AB9" s="69">
        <f>MIN(30,AC9)</f>
        <v>0</v>
      </c>
      <c r="AC9" s="52">
        <f>MAX(0,Betriebsdaten!E9)</f>
        <v>0</v>
      </c>
      <c r="AD9" s="60"/>
      <c r="AE9" s="66" t="s">
        <v>12</v>
      </c>
      <c r="AF9" s="60">
        <v>2019</v>
      </c>
      <c r="AG9" s="60" t="b">
        <f>IF(Betriebsdaten!J15=2019,TRUE,FALSE)</f>
        <v>0</v>
      </c>
      <c r="AH9" s="60" t="b">
        <f t="shared" si="0"/>
        <v>0</v>
      </c>
      <c r="AI9" s="60">
        <v>44</v>
      </c>
      <c r="AJ9" s="60">
        <f>AI9*$AC19</f>
        <v>0</v>
      </c>
      <c r="AK9" s="61" t="s">
        <v>12</v>
      </c>
      <c r="AL9" s="60"/>
      <c r="AM9" s="60"/>
      <c r="AN9" s="60"/>
    </row>
    <row r="10" spans="1:48" x14ac:dyDescent="0.25">
      <c r="A10" s="103"/>
      <c r="B10" s="240" t="s">
        <v>5</v>
      </c>
      <c r="C10" s="414">
        <f>Betriebsdaten!E11</f>
        <v>0</v>
      </c>
      <c r="D10" s="202" t="s">
        <v>2</v>
      </c>
      <c r="E10" s="69"/>
      <c r="F10" s="189" t="s">
        <v>248</v>
      </c>
      <c r="G10" s="40" t="s">
        <v>6</v>
      </c>
      <c r="H10" s="3">
        <v>30.07</v>
      </c>
      <c r="I10" s="3">
        <v>29</v>
      </c>
      <c r="J10" s="3">
        <v>41.49</v>
      </c>
      <c r="K10" s="3">
        <v>41.03</v>
      </c>
      <c r="L10" s="4">
        <v>40.340000000000003</v>
      </c>
      <c r="M10" s="190">
        <v>39.19</v>
      </c>
      <c r="N10" s="598"/>
      <c r="O10" s="103"/>
      <c r="P10" s="103"/>
      <c r="Q10" s="103"/>
      <c r="R10" s="103"/>
      <c r="S10" s="330"/>
      <c r="T10" s="60"/>
      <c r="U10" s="60"/>
      <c r="V10" s="61" t="s">
        <v>12</v>
      </c>
      <c r="W10" s="52" t="s">
        <v>73</v>
      </c>
      <c r="X10" s="52" t="s">
        <v>71</v>
      </c>
      <c r="Y10" s="52"/>
      <c r="Z10" s="60"/>
      <c r="AA10" s="60" t="s">
        <v>74</v>
      </c>
      <c r="AB10" s="60" t="s">
        <v>76</v>
      </c>
      <c r="AC10" s="60"/>
      <c r="AD10" s="60"/>
      <c r="AE10" s="66" t="s">
        <v>12</v>
      </c>
      <c r="AF10" s="60">
        <v>2020</v>
      </c>
      <c r="AG10" s="60" t="b">
        <f>IF(Betriebsdaten!J15=2020,TRUE,FALSE)</f>
        <v>0</v>
      </c>
      <c r="AH10" s="60" t="b">
        <f t="shared" si="0"/>
        <v>0</v>
      </c>
      <c r="AI10" s="60">
        <v>44</v>
      </c>
      <c r="AJ10" s="60">
        <f>AI10*$AC19</f>
        <v>0</v>
      </c>
      <c r="AK10" s="61" t="s">
        <v>12</v>
      </c>
      <c r="AL10" s="60"/>
      <c r="AM10" s="60"/>
      <c r="AN10" s="60"/>
    </row>
    <row r="11" spans="1:48" x14ac:dyDescent="0.25">
      <c r="A11" s="103"/>
      <c r="B11" s="240" t="s">
        <v>107</v>
      </c>
      <c r="C11" s="202">
        <f>Betriebsdaten!E12</f>
        <v>0</v>
      </c>
      <c r="D11" s="202" t="s">
        <v>2</v>
      </c>
      <c r="E11" s="69"/>
      <c r="F11" s="191"/>
      <c r="G11" s="32" t="s">
        <v>7</v>
      </c>
      <c r="H11" s="142">
        <f>$AB11*H10</f>
        <v>0</v>
      </c>
      <c r="I11" s="142">
        <f>$AB11*I10</f>
        <v>0</v>
      </c>
      <c r="J11" s="142">
        <f>$X11*J10</f>
        <v>0</v>
      </c>
      <c r="K11" s="142">
        <f>$X11*K10</f>
        <v>0</v>
      </c>
      <c r="L11" s="142">
        <f>$X11*L10</f>
        <v>0</v>
      </c>
      <c r="M11" s="170">
        <f>$X11*M10</f>
        <v>0</v>
      </c>
      <c r="N11" s="598"/>
      <c r="O11" s="103"/>
      <c r="P11" s="103"/>
      <c r="Q11" s="103"/>
      <c r="R11" s="103"/>
      <c r="S11" s="330"/>
      <c r="T11" s="60"/>
      <c r="U11" s="60"/>
      <c r="V11" s="61" t="s">
        <v>12</v>
      </c>
      <c r="W11" s="60"/>
      <c r="X11" s="69">
        <f>MIN(20,Y11)</f>
        <v>0</v>
      </c>
      <c r="Y11" s="52">
        <f>MAX(0,Betriebsdaten!E9-40)</f>
        <v>0</v>
      </c>
      <c r="Z11" s="60"/>
      <c r="AA11" s="60"/>
      <c r="AB11" s="69">
        <f>MIN(16,AC11)</f>
        <v>0</v>
      </c>
      <c r="AC11" s="52">
        <f>MAX(0,Betriebsdaten!E9-30)</f>
        <v>0</v>
      </c>
      <c r="AD11" s="60"/>
      <c r="AE11" s="66" t="s">
        <v>12</v>
      </c>
      <c r="AF11" s="60">
        <v>2021</v>
      </c>
      <c r="AG11" s="60" t="b">
        <f>IF(Betriebsdaten!J15=2021,TRUE,FALSE)</f>
        <v>0</v>
      </c>
      <c r="AH11" s="60" t="b">
        <f t="shared" si="0"/>
        <v>0</v>
      </c>
      <c r="AI11" s="60">
        <v>44</v>
      </c>
      <c r="AJ11" s="60">
        <f>AI11*$AC19</f>
        <v>0</v>
      </c>
      <c r="AK11" s="61" t="s">
        <v>12</v>
      </c>
      <c r="AL11" s="60"/>
      <c r="AM11" s="60"/>
      <c r="AN11" s="60"/>
    </row>
    <row r="12" spans="1:48" ht="15.75" thickBot="1" x14ac:dyDescent="0.3">
      <c r="A12" s="103"/>
      <c r="B12" s="240" t="s">
        <v>108</v>
      </c>
      <c r="C12" s="414">
        <f>Betriebsdaten!E14</f>
        <v>0</v>
      </c>
      <c r="D12" s="202" t="s">
        <v>2</v>
      </c>
      <c r="E12" s="69"/>
      <c r="F12" s="407" t="s">
        <v>249</v>
      </c>
      <c r="G12" s="408" t="s">
        <v>7</v>
      </c>
      <c r="H12" s="409">
        <f>H9+H11</f>
        <v>0</v>
      </c>
      <c r="I12" s="409">
        <f t="shared" ref="I12:M12" si="1">I9+I11</f>
        <v>0</v>
      </c>
      <c r="J12" s="409">
        <f t="shared" si="1"/>
        <v>0</v>
      </c>
      <c r="K12" s="409">
        <f t="shared" si="1"/>
        <v>0</v>
      </c>
      <c r="L12" s="410">
        <f t="shared" si="1"/>
        <v>0</v>
      </c>
      <c r="M12" s="411">
        <f t="shared" si="1"/>
        <v>0</v>
      </c>
      <c r="N12" s="598"/>
      <c r="O12" s="103"/>
      <c r="P12" s="103"/>
      <c r="Q12" s="103"/>
      <c r="R12" s="103"/>
      <c r="S12" s="330"/>
      <c r="T12" s="60"/>
      <c r="U12" s="60"/>
      <c r="V12" s="61" t="s">
        <v>27</v>
      </c>
      <c r="W12" s="66" t="s">
        <v>10</v>
      </c>
      <c r="X12" s="66" t="s">
        <v>10</v>
      </c>
      <c r="Y12" s="66" t="s">
        <v>10</v>
      </c>
      <c r="Z12" s="61" t="s">
        <v>10</v>
      </c>
      <c r="AA12" s="61" t="s">
        <v>10</v>
      </c>
      <c r="AB12" s="70" t="s">
        <v>10</v>
      </c>
      <c r="AC12" s="61" t="s">
        <v>10</v>
      </c>
      <c r="AD12" s="61" t="s">
        <v>10</v>
      </c>
      <c r="AE12" s="66" t="s">
        <v>12</v>
      </c>
      <c r="AF12" s="60">
        <v>2022</v>
      </c>
      <c r="AG12" s="60" t="b">
        <f>IF(Betriebsdaten!J15=2022,TRUE,FALSE)</f>
        <v>0</v>
      </c>
      <c r="AH12" s="60" t="b">
        <f t="shared" si="0"/>
        <v>0</v>
      </c>
      <c r="AI12" s="60">
        <v>44</v>
      </c>
      <c r="AJ12" s="60">
        <f>AI12*$AC19</f>
        <v>0</v>
      </c>
      <c r="AK12" s="61" t="s">
        <v>12</v>
      </c>
      <c r="AL12" s="60"/>
      <c r="AM12" s="60"/>
      <c r="AN12" s="60"/>
    </row>
    <row r="13" spans="1:48" x14ac:dyDescent="0.25">
      <c r="A13" s="103"/>
      <c r="B13" s="240" t="s">
        <v>109</v>
      </c>
      <c r="C13" s="202">
        <f>Betriebsdaten!E17</f>
        <v>0</v>
      </c>
      <c r="D13" s="202" t="s">
        <v>2</v>
      </c>
      <c r="E13" s="69"/>
      <c r="F13" s="194" t="s">
        <v>241</v>
      </c>
      <c r="G13" s="43" t="s">
        <v>6</v>
      </c>
      <c r="H13" s="7">
        <v>170.77</v>
      </c>
      <c r="I13" s="7">
        <v>167.56</v>
      </c>
      <c r="J13" s="7">
        <v>156.56</v>
      </c>
      <c r="K13" s="7">
        <v>154.72</v>
      </c>
      <c r="L13" s="8">
        <v>151.97</v>
      </c>
      <c r="M13" s="195">
        <v>147.38</v>
      </c>
      <c r="N13" s="598"/>
      <c r="O13" s="103"/>
      <c r="P13" s="103"/>
      <c r="Q13" s="103"/>
      <c r="R13" s="103"/>
      <c r="S13" s="330"/>
      <c r="T13" s="60"/>
      <c r="U13" s="60"/>
      <c r="V13" s="60"/>
      <c r="W13" s="52"/>
      <c r="X13" s="52"/>
      <c r="Y13" s="52"/>
      <c r="Z13" s="60"/>
      <c r="AA13" s="60"/>
      <c r="AB13" s="60"/>
      <c r="AC13" s="60"/>
      <c r="AD13" s="60"/>
      <c r="AE13" s="66" t="s">
        <v>12</v>
      </c>
      <c r="AF13" s="60">
        <v>2023</v>
      </c>
      <c r="AG13" s="60" t="b">
        <f>IF(Betriebsdaten!J15=2023,TRUE,FALSE)</f>
        <v>0</v>
      </c>
      <c r="AH13" s="60" t="b">
        <f>IF(AG13=TRUE,134.04)</f>
        <v>0</v>
      </c>
      <c r="AI13" s="60">
        <v>134.04</v>
      </c>
      <c r="AJ13" s="60">
        <f>AI13*$Y19</f>
        <v>0</v>
      </c>
      <c r="AK13" s="61" t="s">
        <v>12</v>
      </c>
      <c r="AL13" s="60"/>
      <c r="AM13" s="60"/>
      <c r="AN13" s="60"/>
    </row>
    <row r="14" spans="1:48" x14ac:dyDescent="0.25">
      <c r="A14" s="257"/>
      <c r="B14" s="402" t="s">
        <v>226</v>
      </c>
      <c r="C14" s="414">
        <f>Betriebsdaten!E18</f>
        <v>0</v>
      </c>
      <c r="D14" s="202" t="s">
        <v>2</v>
      </c>
      <c r="E14" s="69"/>
      <c r="F14" s="424" t="s">
        <v>242</v>
      </c>
      <c r="G14" s="32" t="s">
        <v>7</v>
      </c>
      <c r="H14" s="142">
        <f>IF(Betriebsdaten!E9&gt;=1,Betriebsdaten!$E9*H13,)</f>
        <v>0</v>
      </c>
      <c r="I14" s="142">
        <f>IF(Betriebsdaten!E9&gt;=1,Betriebsdaten!$E9*I13,)</f>
        <v>0</v>
      </c>
      <c r="J14" s="142">
        <f>IF(Betriebsdaten!E9&gt;=1,Betriebsdaten!$E9*J13,)</f>
        <v>0</v>
      </c>
      <c r="K14" s="142">
        <f>IF(Betriebsdaten!E9&gt;=1,Betriebsdaten!$E9*K13,)</f>
        <v>0</v>
      </c>
      <c r="L14" s="142">
        <f>IF(Betriebsdaten!E9&gt;=1,Betriebsdaten!$E9*L13,)</f>
        <v>0</v>
      </c>
      <c r="M14" s="170">
        <f>IF(Betriebsdaten!E9&gt;=1,Betriebsdaten!$E9*M13,)</f>
        <v>0</v>
      </c>
      <c r="N14" s="598"/>
      <c r="O14" s="103"/>
      <c r="P14" s="103"/>
      <c r="Q14" s="103"/>
      <c r="R14" s="103"/>
      <c r="S14" s="330"/>
      <c r="T14" s="60"/>
      <c r="U14" s="60"/>
      <c r="V14" s="60"/>
      <c r="W14" s="52"/>
      <c r="X14" s="52"/>
      <c r="Y14" s="52"/>
      <c r="Z14" s="60"/>
      <c r="AA14" s="60"/>
      <c r="AB14" s="60"/>
      <c r="AC14" s="60"/>
      <c r="AD14" s="60"/>
      <c r="AE14" s="66" t="s">
        <v>12</v>
      </c>
      <c r="AF14" s="60">
        <v>2024</v>
      </c>
      <c r="AG14" s="60" t="b">
        <f>IF(Betriebsdaten!J15=2024,TRUE,FALSE)</f>
        <v>0</v>
      </c>
      <c r="AH14" s="60" t="b">
        <f>IF(AG14=TRUE,134.04)</f>
        <v>0</v>
      </c>
      <c r="AI14" s="60">
        <v>134.04</v>
      </c>
      <c r="AJ14" s="60">
        <f>AI14*$Y19</f>
        <v>0</v>
      </c>
      <c r="AK14" s="61" t="s">
        <v>12</v>
      </c>
      <c r="AL14" s="60"/>
      <c r="AM14" s="60"/>
      <c r="AN14" s="60"/>
    </row>
    <row r="15" spans="1:48" x14ac:dyDescent="0.25">
      <c r="A15" s="257"/>
      <c r="B15" s="240" t="s">
        <v>215</v>
      </c>
      <c r="C15" s="202">
        <f>Betriebsdaten!E20</f>
        <v>0</v>
      </c>
      <c r="D15" s="202" t="s">
        <v>2</v>
      </c>
      <c r="E15" s="69"/>
      <c r="F15" s="189" t="s">
        <v>243</v>
      </c>
      <c r="G15" s="40" t="s">
        <v>6</v>
      </c>
      <c r="H15" s="3">
        <v>83.17</v>
      </c>
      <c r="I15" s="3">
        <v>81.78</v>
      </c>
      <c r="J15" s="1"/>
      <c r="K15" s="1"/>
      <c r="L15" s="2"/>
      <c r="M15" s="196"/>
      <c r="N15" s="598"/>
      <c r="O15" s="103"/>
      <c r="P15" s="103"/>
      <c r="Q15" s="103"/>
      <c r="R15" s="103"/>
      <c r="S15" s="330"/>
      <c r="T15" s="60"/>
      <c r="U15" s="60"/>
      <c r="V15" s="60"/>
      <c r="W15" s="52"/>
      <c r="X15" s="52"/>
      <c r="Y15" s="52"/>
      <c r="Z15" s="60"/>
      <c r="AA15" s="60"/>
      <c r="AB15" s="60"/>
      <c r="AC15" s="60"/>
      <c r="AD15" s="60"/>
      <c r="AE15" s="66" t="s">
        <v>12</v>
      </c>
      <c r="AF15" s="60">
        <v>2025</v>
      </c>
      <c r="AG15" s="60" t="b">
        <f>IF(Betriebsdaten!J15=2025,TRUE,FALSE)</f>
        <v>0</v>
      </c>
      <c r="AH15" s="60" t="b">
        <f>IF(AG15=TRUE,134.04)</f>
        <v>0</v>
      </c>
      <c r="AI15" s="60">
        <v>134.04</v>
      </c>
      <c r="AJ15" s="60">
        <f>AI15*$Y19</f>
        <v>0</v>
      </c>
      <c r="AK15" s="61" t="s">
        <v>12</v>
      </c>
      <c r="AL15" s="60"/>
      <c r="AM15" s="60"/>
      <c r="AN15" s="60"/>
    </row>
    <row r="16" spans="1:48" ht="15.75" thickBot="1" x14ac:dyDescent="0.3">
      <c r="A16" s="257"/>
      <c r="B16" s="402" t="s">
        <v>227</v>
      </c>
      <c r="C16" s="414">
        <f>Betriebsdaten!J19</f>
        <v>0</v>
      </c>
      <c r="D16" s="202" t="s">
        <v>2</v>
      </c>
      <c r="E16" s="69"/>
      <c r="F16" s="425" t="s">
        <v>244</v>
      </c>
      <c r="G16" s="33" t="s">
        <v>7</v>
      </c>
      <c r="H16" s="143">
        <f>IF(Betriebsdaten!E9&gt;=1,Betriebsdaten!$E9*H15,)</f>
        <v>0</v>
      </c>
      <c r="I16" s="143">
        <f>IF(Betriebsdaten!E9&gt;=1,Betriebsdaten!$E9*I15,)</f>
        <v>0</v>
      </c>
      <c r="J16" s="5"/>
      <c r="K16" s="5"/>
      <c r="L16" s="6"/>
      <c r="M16" s="197"/>
      <c r="N16" s="598"/>
      <c r="O16" s="103"/>
      <c r="P16" s="103"/>
      <c r="Q16" s="103"/>
      <c r="R16" s="103"/>
      <c r="S16" s="330"/>
      <c r="T16" s="60"/>
      <c r="U16" s="60"/>
      <c r="V16" s="60"/>
      <c r="W16" s="66" t="s">
        <v>9</v>
      </c>
      <c r="X16" s="66" t="s">
        <v>10</v>
      </c>
      <c r="Y16" s="66" t="s">
        <v>10</v>
      </c>
      <c r="Z16" s="61" t="s">
        <v>10</v>
      </c>
      <c r="AA16" s="61" t="s">
        <v>10</v>
      </c>
      <c r="AB16" s="61" t="s">
        <v>10</v>
      </c>
      <c r="AC16" s="61" t="s">
        <v>10</v>
      </c>
      <c r="AD16" s="61" t="s">
        <v>10</v>
      </c>
      <c r="AE16" s="61" t="s">
        <v>28</v>
      </c>
      <c r="AF16" s="60">
        <v>2026</v>
      </c>
      <c r="AG16" s="60" t="b">
        <f>IF(Betriebsdaten!J15=2026,TRUE,FALSE)</f>
        <v>0</v>
      </c>
      <c r="AH16" s="60" t="b">
        <f>IF(AG16=TRUE,134.04)</f>
        <v>0</v>
      </c>
      <c r="AI16" s="60">
        <v>134.04</v>
      </c>
      <c r="AJ16" s="60">
        <f>AI16*$Y19</f>
        <v>0</v>
      </c>
      <c r="AK16" s="61" t="s">
        <v>12</v>
      </c>
      <c r="AL16" s="60"/>
      <c r="AM16" s="60"/>
      <c r="AN16" s="60"/>
    </row>
    <row r="17" spans="1:40" ht="15.75" thickBot="1" x14ac:dyDescent="0.3">
      <c r="A17" s="257"/>
      <c r="B17" s="51"/>
      <c r="C17" s="403"/>
      <c r="D17" s="51"/>
      <c r="E17" s="69"/>
      <c r="F17" s="9" t="s">
        <v>246</v>
      </c>
      <c r="G17" s="44" t="s">
        <v>7</v>
      </c>
      <c r="H17" s="147">
        <f t="shared" ref="H17:M17" si="2">H12+H14+H16</f>
        <v>0</v>
      </c>
      <c r="I17" s="147">
        <f t="shared" si="2"/>
        <v>0</v>
      </c>
      <c r="J17" s="147">
        <f t="shared" si="2"/>
        <v>0</v>
      </c>
      <c r="K17" s="147">
        <f t="shared" si="2"/>
        <v>0</v>
      </c>
      <c r="L17" s="147">
        <f t="shared" si="2"/>
        <v>0</v>
      </c>
      <c r="M17" s="148">
        <f t="shared" si="2"/>
        <v>0</v>
      </c>
      <c r="N17" s="598"/>
      <c r="O17" s="103"/>
      <c r="P17" s="103"/>
      <c r="Q17" s="103"/>
      <c r="R17" s="103"/>
      <c r="S17" s="330"/>
      <c r="T17" s="60"/>
      <c r="U17" s="60"/>
      <c r="V17" s="60"/>
      <c r="W17" s="66" t="s">
        <v>12</v>
      </c>
      <c r="X17" s="52" t="s">
        <v>82</v>
      </c>
      <c r="Y17" s="52"/>
      <c r="Z17" s="60"/>
      <c r="AA17" s="60"/>
      <c r="AB17" s="60"/>
      <c r="AC17" s="60"/>
      <c r="AD17" s="60"/>
      <c r="AF17" s="60"/>
      <c r="AG17" s="60"/>
      <c r="AH17" s="60"/>
      <c r="AI17" s="60"/>
      <c r="AJ17" s="60"/>
      <c r="AK17" s="61" t="s">
        <v>12</v>
      </c>
      <c r="AL17" s="60"/>
      <c r="AM17" s="60"/>
      <c r="AN17" s="60"/>
    </row>
    <row r="18" spans="1:40" x14ac:dyDescent="0.25">
      <c r="A18" s="103"/>
      <c r="B18" s="240" t="s">
        <v>110</v>
      </c>
      <c r="C18" s="404">
        <f>ROUNDDOWN(Betriebsdaten!J9,0)</f>
        <v>0</v>
      </c>
      <c r="D18" s="202" t="s">
        <v>114</v>
      </c>
      <c r="E18" s="69"/>
      <c r="F18" s="220" t="s">
        <v>250</v>
      </c>
      <c r="G18" s="221" t="s">
        <v>8</v>
      </c>
      <c r="H18" s="222"/>
      <c r="I18" s="222"/>
      <c r="J18" s="222">
        <v>77.930000000000007</v>
      </c>
      <c r="K18" s="222">
        <v>77.06</v>
      </c>
      <c r="L18" s="223">
        <v>75.760000000000005</v>
      </c>
      <c r="M18" s="224">
        <v>73.599999999999994</v>
      </c>
      <c r="N18" s="598"/>
      <c r="O18" s="103"/>
      <c r="P18" s="103"/>
      <c r="Q18" s="103"/>
      <c r="R18" s="103"/>
      <c r="S18" s="330"/>
      <c r="T18" s="60"/>
      <c r="U18" s="60"/>
      <c r="V18" s="60"/>
      <c r="W18" s="61" t="s">
        <v>12</v>
      </c>
      <c r="X18" s="52" t="s">
        <v>73</v>
      </c>
      <c r="Y18" s="52" t="s">
        <v>77</v>
      </c>
      <c r="Z18" s="52"/>
      <c r="AA18" s="60"/>
      <c r="AB18" s="60" t="s">
        <v>74</v>
      </c>
      <c r="AC18" s="60" t="s">
        <v>78</v>
      </c>
      <c r="AD18" s="60"/>
      <c r="AF18" s="60"/>
      <c r="AG18" s="60"/>
      <c r="AH18" s="60"/>
      <c r="AI18" s="60"/>
      <c r="AJ18" s="60"/>
      <c r="AK18" s="61" t="s">
        <v>12</v>
      </c>
      <c r="AL18" s="60"/>
      <c r="AM18" s="60"/>
      <c r="AN18" s="60"/>
    </row>
    <row r="19" spans="1:40" x14ac:dyDescent="0.25">
      <c r="A19" s="103"/>
      <c r="B19" s="240" t="s">
        <v>111</v>
      </c>
      <c r="C19" s="404">
        <f>ROUNDDOWN(Betriebsdaten!J11,0)</f>
        <v>0</v>
      </c>
      <c r="D19" s="202" t="s">
        <v>114</v>
      </c>
      <c r="E19" s="69"/>
      <c r="F19" s="166"/>
      <c r="G19" s="32" t="s">
        <v>7</v>
      </c>
      <c r="H19" s="1"/>
      <c r="I19" s="1"/>
      <c r="J19" s="142">
        <f>J18*IF(Betriebsdaten!$J9&gt;=3,ROUNDDOWN(Betriebsdaten!$J9,0),)</f>
        <v>0</v>
      </c>
      <c r="K19" s="142">
        <f>K18*IF(Betriebsdaten!$J9&gt;=3,ROUNDDOWN(Betriebsdaten!$J9,0),)</f>
        <v>0</v>
      </c>
      <c r="L19" s="142">
        <f>L18*IF(Betriebsdaten!$J9&gt;=3,ROUNDDOWN(Betriebsdaten!$J9,0),)</f>
        <v>0</v>
      </c>
      <c r="M19" s="170">
        <f>M18*IF(Betriebsdaten!$J9&gt;=3,ROUNDDOWN(Betriebsdaten!$J9,0),)</f>
        <v>0</v>
      </c>
      <c r="N19" s="598"/>
      <c r="O19" s="103"/>
      <c r="P19" s="103"/>
      <c r="Q19" s="103"/>
      <c r="R19" s="103"/>
      <c r="S19" s="330"/>
      <c r="T19" s="60"/>
      <c r="U19" s="60"/>
      <c r="V19" s="60"/>
      <c r="W19" s="61" t="s">
        <v>12</v>
      </c>
      <c r="X19" s="52"/>
      <c r="Y19" s="60">
        <f>MIN(120,Z19)</f>
        <v>0</v>
      </c>
      <c r="Z19" s="52">
        <f>MAX(0,Betriebsdaten!E9)</f>
        <v>0</v>
      </c>
      <c r="AA19" s="60"/>
      <c r="AB19" s="60"/>
      <c r="AC19" s="60">
        <f>MIN(90,AD19)</f>
        <v>0</v>
      </c>
      <c r="AD19" s="60">
        <f>MAX(0,Betriebsdaten!E9)</f>
        <v>0</v>
      </c>
      <c r="AE19" s="60"/>
      <c r="AF19" s="60" t="s">
        <v>81</v>
      </c>
      <c r="AG19" s="60"/>
      <c r="AH19" s="60"/>
      <c r="AI19" s="60"/>
      <c r="AJ19" s="60"/>
      <c r="AK19" s="61" t="s">
        <v>12</v>
      </c>
      <c r="AL19" s="60"/>
      <c r="AM19" s="60"/>
      <c r="AN19" s="60"/>
    </row>
    <row r="20" spans="1:40" x14ac:dyDescent="0.25">
      <c r="A20" s="103"/>
      <c r="B20" s="240" t="s">
        <v>113</v>
      </c>
      <c r="C20" s="423">
        <f>Betriebsdaten!J12</f>
        <v>0</v>
      </c>
      <c r="D20" s="202" t="s">
        <v>258</v>
      </c>
      <c r="E20" s="69"/>
      <c r="F20" s="220" t="s">
        <v>251</v>
      </c>
      <c r="G20" s="221" t="s">
        <v>8</v>
      </c>
      <c r="H20" s="222"/>
      <c r="I20" s="222"/>
      <c r="J20" s="222">
        <v>34.83</v>
      </c>
      <c r="K20" s="222">
        <v>34.44</v>
      </c>
      <c r="L20" s="223">
        <v>33.86</v>
      </c>
      <c r="M20" s="225">
        <v>32.89</v>
      </c>
      <c r="N20" s="598"/>
      <c r="O20" s="103"/>
      <c r="P20" s="103"/>
      <c r="Q20" s="103"/>
      <c r="R20" s="103"/>
      <c r="S20" s="330"/>
      <c r="T20" s="60"/>
      <c r="U20" s="60"/>
      <c r="V20" s="60"/>
      <c r="W20" s="66" t="s">
        <v>9</v>
      </c>
      <c r="X20" s="66" t="s">
        <v>10</v>
      </c>
      <c r="Y20" s="66" t="s">
        <v>10</v>
      </c>
      <c r="Z20" s="66" t="s">
        <v>10</v>
      </c>
      <c r="AA20" s="66" t="s">
        <v>10</v>
      </c>
      <c r="AB20" s="66" t="s">
        <v>10</v>
      </c>
      <c r="AC20" s="66" t="s">
        <v>10</v>
      </c>
      <c r="AD20" s="61" t="s">
        <v>10</v>
      </c>
      <c r="AE20" s="61" t="s">
        <v>28</v>
      </c>
      <c r="AF20" s="60">
        <v>2017</v>
      </c>
      <c r="AG20" s="60" t="b">
        <f>IF(Betriebsdaten!J15=2017,TRUE,FALSE)</f>
        <v>0</v>
      </c>
      <c r="AH20" s="60" t="b">
        <f>IF(AG20=TRUE,44)</f>
        <v>0</v>
      </c>
      <c r="AI20" s="60">
        <v>44</v>
      </c>
      <c r="AJ20" s="60">
        <f>AI20*$AC19</f>
        <v>0</v>
      </c>
      <c r="AK20" s="61" t="s">
        <v>12</v>
      </c>
      <c r="AL20" s="60"/>
      <c r="AM20" s="60"/>
      <c r="AN20" s="60"/>
    </row>
    <row r="21" spans="1:40" ht="15.75" thickBot="1" x14ac:dyDescent="0.3">
      <c r="A21" s="103"/>
      <c r="B21" s="104"/>
      <c r="C21" s="69"/>
      <c r="D21" s="69"/>
      <c r="E21" s="69"/>
      <c r="F21" s="172"/>
      <c r="G21" s="33" t="s">
        <v>7</v>
      </c>
      <c r="H21" s="5"/>
      <c r="I21" s="5"/>
      <c r="J21" s="143">
        <f>J20*IF(Betriebsdaten!$J11&gt;=6,ROUNDDOWN(Betriebsdaten!$J11,0),)</f>
        <v>0</v>
      </c>
      <c r="K21" s="143">
        <f>K20*IF(Betriebsdaten!$J11&gt;=6,ROUNDDOWN(Betriebsdaten!$J11,0),)</f>
        <v>0</v>
      </c>
      <c r="L21" s="143">
        <f>L20*IF(Betriebsdaten!$J11&gt;=6,ROUNDDOWN(Betriebsdaten!$J11,0),)</f>
        <v>0</v>
      </c>
      <c r="M21" s="177">
        <f>M20*IF(Betriebsdaten!$J11&gt;=6,ROUNDDOWN(Betriebsdaten!$J11,0),)</f>
        <v>0</v>
      </c>
      <c r="N21" s="598"/>
      <c r="O21" s="103"/>
      <c r="P21" s="103"/>
      <c r="Q21" s="103"/>
      <c r="R21" s="103"/>
      <c r="S21" s="330"/>
      <c r="T21" s="60"/>
      <c r="U21" s="60"/>
      <c r="V21" s="60"/>
      <c r="W21" s="52"/>
      <c r="X21" s="52"/>
      <c r="Y21" s="52"/>
      <c r="Z21" s="60"/>
      <c r="AA21" s="60"/>
      <c r="AB21" s="60"/>
      <c r="AC21" s="60"/>
      <c r="AD21" s="60"/>
      <c r="AE21" s="66" t="s">
        <v>12</v>
      </c>
      <c r="AF21" s="60">
        <v>2018</v>
      </c>
      <c r="AG21" s="60" t="b">
        <f>IF(Betriebsdaten!J15=2018,TRUE,FALSE)</f>
        <v>0</v>
      </c>
      <c r="AH21" s="60" t="b">
        <f>IF(AG21=TRUE,44)</f>
        <v>0</v>
      </c>
      <c r="AI21" s="60">
        <v>44</v>
      </c>
      <c r="AJ21" s="60">
        <f>AI21*$AC19</f>
        <v>0</v>
      </c>
      <c r="AK21" s="61" t="s">
        <v>12</v>
      </c>
      <c r="AL21" s="60"/>
      <c r="AM21" s="60"/>
      <c r="AN21" s="60"/>
    </row>
    <row r="22" spans="1:40" ht="15.75" thickBot="1" x14ac:dyDescent="0.3">
      <c r="A22" s="103"/>
      <c r="B22" s="240" t="s">
        <v>112</v>
      </c>
      <c r="C22" s="203">
        <f>Betriebsdaten!J15</f>
        <v>0</v>
      </c>
      <c r="D22" s="202" t="s">
        <v>79</v>
      </c>
      <c r="E22" s="69"/>
      <c r="F22" s="226" t="s">
        <v>254</v>
      </c>
      <c r="G22" s="227" t="s">
        <v>7</v>
      </c>
      <c r="H22" s="228"/>
      <c r="I22" s="228"/>
      <c r="J22" s="229">
        <f>J19+J21</f>
        <v>0</v>
      </c>
      <c r="K22" s="229">
        <f t="shared" ref="K22:M22" si="3">K19+K21</f>
        <v>0</v>
      </c>
      <c r="L22" s="230">
        <f t="shared" si="3"/>
        <v>0</v>
      </c>
      <c r="M22" s="231">
        <f t="shared" si="3"/>
        <v>0</v>
      </c>
      <c r="N22" s="598"/>
      <c r="O22" s="103"/>
      <c r="P22" s="103"/>
      <c r="Q22" s="103"/>
      <c r="R22" s="103"/>
      <c r="S22" s="330"/>
      <c r="T22" s="60"/>
      <c r="U22" s="60"/>
      <c r="V22" s="60"/>
      <c r="W22" s="52"/>
      <c r="X22" s="52"/>
      <c r="Y22" s="52"/>
      <c r="Z22" s="60"/>
      <c r="AA22" s="60"/>
      <c r="AB22" s="60"/>
      <c r="AD22" s="60"/>
      <c r="AE22" s="61" t="s">
        <v>12</v>
      </c>
      <c r="AF22" s="60">
        <v>2019</v>
      </c>
      <c r="AG22" s="60" t="b">
        <f>IF(Betriebsdaten!J15=2019,TRUE,FALSE)</f>
        <v>0</v>
      </c>
      <c r="AH22" s="60" t="b">
        <f t="shared" ref="AH22:AH30" si="4">IF(AG22=TRUE,134.04)</f>
        <v>0</v>
      </c>
      <c r="AI22" s="60">
        <v>134.04</v>
      </c>
      <c r="AJ22" s="60">
        <f>AI22*$Y19</f>
        <v>0</v>
      </c>
      <c r="AK22" s="61" t="s">
        <v>12</v>
      </c>
      <c r="AL22" s="60"/>
      <c r="AM22" s="60"/>
      <c r="AN22" s="60"/>
    </row>
    <row r="23" spans="1:40" ht="15.75" customHeight="1" thickBot="1" x14ac:dyDescent="0.3">
      <c r="A23" s="103"/>
      <c r="B23" s="125"/>
      <c r="C23" s="63"/>
      <c r="D23" s="63"/>
      <c r="E23" s="58"/>
      <c r="F23" s="192" t="s">
        <v>350</v>
      </c>
      <c r="G23" s="41" t="s">
        <v>6</v>
      </c>
      <c r="H23" s="26">
        <v>44</v>
      </c>
      <c r="I23" s="26">
        <v>44</v>
      </c>
      <c r="J23" s="30">
        <v>134.04</v>
      </c>
      <c r="K23" s="30">
        <v>134.04</v>
      </c>
      <c r="L23" s="30">
        <v>134.04</v>
      </c>
      <c r="M23" s="193">
        <v>134.04</v>
      </c>
      <c r="N23" s="598"/>
      <c r="O23" s="103"/>
      <c r="P23" s="103"/>
      <c r="Q23" s="103"/>
      <c r="R23" s="103"/>
      <c r="S23" s="330"/>
      <c r="T23" s="60"/>
      <c r="U23" s="60"/>
      <c r="V23" s="60"/>
      <c r="W23" s="52"/>
      <c r="X23" s="52"/>
      <c r="Y23" s="52"/>
      <c r="Z23" s="60"/>
      <c r="AA23" s="60"/>
      <c r="AB23" s="60"/>
      <c r="AC23" s="60"/>
      <c r="AD23" s="60"/>
      <c r="AE23" s="61" t="s">
        <v>12</v>
      </c>
      <c r="AF23" s="60">
        <v>2020</v>
      </c>
      <c r="AG23" s="60" t="b">
        <f>IF(Betriebsdaten!J15=2020,TRUE,FALSE)</f>
        <v>0</v>
      </c>
      <c r="AH23" s="60" t="b">
        <f t="shared" si="4"/>
        <v>0</v>
      </c>
      <c r="AI23" s="60">
        <v>134.04</v>
      </c>
      <c r="AJ23" s="60">
        <f>AI23*$Y19</f>
        <v>0</v>
      </c>
      <c r="AK23" s="61" t="s">
        <v>12</v>
      </c>
      <c r="AL23" s="60"/>
      <c r="AM23" s="60"/>
      <c r="AN23" s="60"/>
    </row>
    <row r="24" spans="1:40" ht="15.75" thickBot="1" x14ac:dyDescent="0.3">
      <c r="A24" s="103"/>
      <c r="B24" s="125"/>
      <c r="C24" s="63"/>
      <c r="D24" s="63"/>
      <c r="E24" s="58"/>
      <c r="F24" s="27" t="s">
        <v>245</v>
      </c>
      <c r="G24" s="42" t="s">
        <v>7</v>
      </c>
      <c r="H24" s="144">
        <f>SUMIFS(AJ7,AI7,AH7)+SUMIFS(AJ8,AI8,AH8)+SUMIFS(AJ9,AI9,AH9)+SUMIFS(AJ10,AI10,AH10)+SUMIFS(AJ11,AI11,AH11)</f>
        <v>0</v>
      </c>
      <c r="I24" s="145">
        <f>SUMIFS(AJ8,AI8,AH8)+SUMIFS(AJ9,AI9,AH9)+SUMIFS(AJ10,AI10,AH10)+SUMIFS(AJ11,AI11,AH11)+SUMIFS(AJ12,AI12,AH12)</f>
        <v>0</v>
      </c>
      <c r="J24" s="145">
        <f>SUMIFS(AJ22,AI22,AH22)+SUMIFS(AJ23,AI23,AH23)+SUMIFS(AJ24,AI24,AH24)+SUMIFS(AJ26,AI26,AH26)+SUMIFS(AJ27,AI27,AH27)</f>
        <v>0</v>
      </c>
      <c r="K24" s="145">
        <f>SUMIFS(AJ23,AI23,AH23)+SUMIFS(AJ24,AI24,AH24)+SUMIFS(AJ26,AI26,AH26)+SUMIFS(AJ27,AI27,AH27)+SUMIFS(AJ28,AI28,AH28)</f>
        <v>0</v>
      </c>
      <c r="L24" s="145">
        <f>SUMIFS(AJ24,AI24,AH24)+SUMIFS(AJ26,AI26,AH26)+SUMIFS(AJ27,AI27,AH27)+SUMIFS(AJ28,AI28,AH28)+SUMIFS(AJ29,AI29,AH29)</f>
        <v>0</v>
      </c>
      <c r="M24" s="146">
        <f>SUMIFS(AJ26,AI26,AH26)+SUMIFS(AJ27,AI27,AH27)+SUMIFS(AJ28,AI28,AH28)+SUMIFS(AJ29,AI29,AH29)+SUMIFS(AJ30,AI30,AH30)</f>
        <v>0</v>
      </c>
      <c r="N24" s="598"/>
      <c r="O24" s="103"/>
      <c r="P24" s="103"/>
      <c r="Q24" s="103"/>
      <c r="R24" s="103"/>
      <c r="S24" s="330"/>
      <c r="T24" s="60"/>
      <c r="U24" s="60"/>
      <c r="V24" s="60"/>
      <c r="W24" s="52"/>
      <c r="X24" s="52"/>
      <c r="Y24" s="52"/>
      <c r="Z24" s="60"/>
      <c r="AA24" s="60"/>
      <c r="AB24" s="60"/>
      <c r="AC24" s="60"/>
      <c r="AD24" s="60"/>
      <c r="AE24" s="61" t="s">
        <v>12</v>
      </c>
      <c r="AF24" s="60">
        <v>2021</v>
      </c>
      <c r="AG24" s="60" t="b">
        <f>IF(Betriebsdaten!J15=2021,TRUE,FALSE)</f>
        <v>0</v>
      </c>
      <c r="AH24" s="60" t="b">
        <f t="shared" si="4"/>
        <v>0</v>
      </c>
      <c r="AI24" s="60">
        <v>134.04</v>
      </c>
      <c r="AJ24" s="60">
        <f>AI24*$Y19</f>
        <v>0</v>
      </c>
      <c r="AK24" s="61" t="s">
        <v>12</v>
      </c>
      <c r="AL24" s="60"/>
      <c r="AM24" s="60"/>
      <c r="AN24" s="60"/>
    </row>
    <row r="25" spans="1:40" s="63" customFormat="1" ht="18" customHeight="1" thickBot="1" x14ac:dyDescent="0.3">
      <c r="A25" s="114"/>
      <c r="B25" s="125"/>
      <c r="E25" s="58"/>
      <c r="F25" s="64"/>
      <c r="G25" s="64"/>
      <c r="H25" s="159"/>
      <c r="I25" s="159"/>
      <c r="J25" s="159"/>
      <c r="K25" s="159"/>
      <c r="L25" s="159"/>
      <c r="M25" s="159"/>
      <c r="N25" s="598"/>
      <c r="O25" s="114"/>
      <c r="P25" s="114"/>
      <c r="Q25" s="114"/>
      <c r="R25" s="114"/>
      <c r="S25" s="331"/>
      <c r="T25" s="73"/>
      <c r="U25" s="73"/>
      <c r="V25" s="73"/>
      <c r="W25" s="69"/>
      <c r="X25" s="69"/>
      <c r="Y25" s="69"/>
      <c r="Z25" s="73"/>
      <c r="AA25" s="73"/>
      <c r="AB25" s="73"/>
      <c r="AC25" s="73"/>
      <c r="AD25" s="73"/>
      <c r="AE25" s="78"/>
      <c r="AF25" s="73"/>
      <c r="AG25" s="73"/>
      <c r="AH25" s="73"/>
      <c r="AI25" s="73"/>
      <c r="AJ25" s="73"/>
      <c r="AK25" s="78"/>
      <c r="AL25" s="73"/>
      <c r="AM25" s="73"/>
      <c r="AN25" s="73"/>
    </row>
    <row r="26" spans="1:40" ht="18" customHeight="1" thickBot="1" x14ac:dyDescent="0.3">
      <c r="A26" s="103"/>
      <c r="B26" s="125"/>
      <c r="C26" s="214" t="s">
        <v>106</v>
      </c>
      <c r="D26" s="215"/>
      <c r="E26" s="69"/>
      <c r="F26" s="64" t="s">
        <v>133</v>
      </c>
      <c r="G26" s="50"/>
      <c r="H26" s="50"/>
      <c r="I26" s="50"/>
      <c r="J26" s="50"/>
      <c r="K26" s="50"/>
      <c r="L26" s="50"/>
      <c r="M26" s="50"/>
      <c r="N26" s="598"/>
      <c r="O26" s="103"/>
      <c r="P26" s="103"/>
      <c r="Q26" s="103"/>
      <c r="R26" s="103"/>
      <c r="S26" s="330"/>
      <c r="T26" s="60"/>
      <c r="U26" s="60"/>
      <c r="V26" s="60"/>
      <c r="W26" s="66" t="s">
        <v>9</v>
      </c>
      <c r="X26" s="66" t="s">
        <v>10</v>
      </c>
      <c r="Y26" s="66" t="s">
        <v>10</v>
      </c>
      <c r="Z26" s="61" t="s">
        <v>10</v>
      </c>
      <c r="AA26" s="61" t="s">
        <v>10</v>
      </c>
      <c r="AB26" s="61" t="s">
        <v>10</v>
      </c>
      <c r="AC26" s="61" t="s">
        <v>10</v>
      </c>
      <c r="AD26" s="71" t="s">
        <v>11</v>
      </c>
      <c r="AE26" s="61" t="s">
        <v>12</v>
      </c>
      <c r="AF26" s="60">
        <v>2022</v>
      </c>
      <c r="AG26" s="60" t="b">
        <f>IF(Betriebsdaten!J15=2022,TRUE,FALSE)</f>
        <v>0</v>
      </c>
      <c r="AH26" s="60" t="b">
        <f t="shared" si="4"/>
        <v>0</v>
      </c>
      <c r="AI26" s="60">
        <v>134.04</v>
      </c>
      <c r="AJ26" s="60">
        <f>AI26*$Y19</f>
        <v>0</v>
      </c>
      <c r="AK26" s="61" t="s">
        <v>12</v>
      </c>
      <c r="AL26" s="60"/>
      <c r="AM26" s="60"/>
      <c r="AN26" s="60"/>
    </row>
    <row r="27" spans="1:40" ht="15.75" thickBot="1" x14ac:dyDescent="0.3">
      <c r="A27" s="103"/>
      <c r="B27" s="241"/>
      <c r="C27" s="69"/>
      <c r="D27" s="50"/>
      <c r="E27" s="63"/>
      <c r="F27" s="161" t="s">
        <v>135</v>
      </c>
      <c r="G27" s="162" t="s">
        <v>15</v>
      </c>
      <c r="H27" s="162"/>
      <c r="I27" s="162"/>
      <c r="J27" s="163">
        <f>IF(J28&gt;0,AI37,0)</f>
        <v>0</v>
      </c>
      <c r="K27" s="164">
        <f>IF(K28&gt;0,AJ37,0)</f>
        <v>0</v>
      </c>
      <c r="L27" s="164">
        <f>IF(L28&gt;0,AK37,0)</f>
        <v>0</v>
      </c>
      <c r="M27" s="165">
        <f>IF(M28&gt;0,AL37,0)</f>
        <v>0</v>
      </c>
      <c r="N27" s="598"/>
      <c r="O27" s="103"/>
      <c r="P27" s="103"/>
      <c r="Q27" s="103"/>
      <c r="R27" s="103"/>
      <c r="S27" s="330"/>
      <c r="T27" s="60"/>
      <c r="U27" s="60"/>
      <c r="V27" s="60"/>
      <c r="W27" s="66" t="s">
        <v>12</v>
      </c>
      <c r="X27" s="52" t="s">
        <v>13</v>
      </c>
      <c r="Y27" s="52"/>
      <c r="Z27" s="60"/>
      <c r="AA27" s="60"/>
      <c r="AB27" s="60"/>
      <c r="AC27" s="60"/>
      <c r="AD27" s="61" t="s">
        <v>12</v>
      </c>
      <c r="AE27" s="61" t="s">
        <v>12</v>
      </c>
      <c r="AF27" s="60">
        <v>2023</v>
      </c>
      <c r="AG27" s="60" t="b">
        <f>IF(Betriebsdaten!J15=2023,TRUE,FALSE)</f>
        <v>0</v>
      </c>
      <c r="AH27" s="60" t="b">
        <f t="shared" si="4"/>
        <v>0</v>
      </c>
      <c r="AI27" s="60">
        <v>134.04</v>
      </c>
      <c r="AJ27" s="60">
        <f>AI27*$Y19</f>
        <v>0</v>
      </c>
      <c r="AK27" s="61" t="s">
        <v>12</v>
      </c>
      <c r="AL27" s="60"/>
      <c r="AM27" s="60"/>
      <c r="AN27" s="60"/>
    </row>
    <row r="28" spans="1:40" ht="15.75" thickBot="1" x14ac:dyDescent="0.3">
      <c r="A28" s="103"/>
      <c r="B28" s="242"/>
      <c r="C28" s="219" t="s">
        <v>17</v>
      </c>
      <c r="D28" s="263"/>
      <c r="E28" s="206" t="str">
        <f>IF(D28&gt;0%,T28,"-")</f>
        <v>-</v>
      </c>
      <c r="F28" s="166" t="s">
        <v>51</v>
      </c>
      <c r="G28" s="45" t="s">
        <v>7</v>
      </c>
      <c r="H28" s="10"/>
      <c r="I28" s="10"/>
      <c r="J28" s="160">
        <f>IF(T28=TRUE,SUMIFS(Z32:Z37,X32:X37,AC30)+SUMIFS(Z32:Z37,X32:X37,AC31)+SUMIFS(Z32:Z37,X32:X37,AC32)+SUMIFS(Z32:Z37,X32:X37,AC33)+SUMIFS(Z32:Z37,X32:X37,AC34)+SUMIFS(Z32:Z37,X32:X37,AC35),)</f>
        <v>0</v>
      </c>
      <c r="K28" s="160">
        <f>IF(T28=TRUE,SUMIFS(Z32:Z37,X32:X37,AC30)+SUMIFS(Z32:Z37,X32:X37,AC31)+SUMIFS(Z32:Z37,X32:X37,AC32)+SUMIFS(Z32:Z37,X32:X37,AC33)+SUMIFS(Z32:Z37,X32:X37,AC34)+SUMIFS(Z32:Z37,X32:X37,AC35),)</f>
        <v>0</v>
      </c>
      <c r="L28" s="160">
        <f>IF(T28=TRUE,SUMIFS(Z32:Z37,X32:X37,AC30)+SUMIFS(Z32:Z37,X32:X37,AC31)+SUMIFS(Z32:Z37,X32:X37,AC32)+SUMIFS(Z32:Z37,X32:X37,AC33)+SUMIFS(Z32:Z37,X32:X37,AC34)+SUMIFS(Z32:Z37,X32:X37,AC35),)</f>
        <v>0</v>
      </c>
      <c r="M28" s="167">
        <f>IF(T28=TRUE,SUMIFS(Z32:Z37,X32:X37,AC30)+SUMIFS(Z32:Z37,X32:X37,AC31)+SUMIFS(Z32:Z37,X32:X37,AC32)+SUMIFS(Z32:Z37,X32:X37,AC33)+SUMIFS(Z32:Z37,X32:X37,AC34)+SUMIFS(Z32:Z37,X32:X37,AC35),)</f>
        <v>0</v>
      </c>
      <c r="N28" s="598"/>
      <c r="O28" s="103"/>
      <c r="P28" s="103"/>
      <c r="Q28" s="103"/>
      <c r="R28" s="103"/>
      <c r="S28" s="330"/>
      <c r="T28" s="72" t="b">
        <f>IF(AND(D28&lt;=6%,Betriebsdaten!E10&gt;0),TRUE,FALSE)</f>
        <v>0</v>
      </c>
      <c r="U28" s="60"/>
      <c r="V28" s="60"/>
      <c r="W28" s="66" t="s">
        <v>12</v>
      </c>
      <c r="X28" s="69" t="s">
        <v>14</v>
      </c>
      <c r="Y28" s="69"/>
      <c r="Z28" s="73"/>
      <c r="AA28" s="73"/>
      <c r="AB28" s="73"/>
      <c r="AC28" s="73"/>
      <c r="AD28" s="61" t="s">
        <v>12</v>
      </c>
      <c r="AE28" s="61" t="s">
        <v>12</v>
      </c>
      <c r="AF28" s="60">
        <v>2024</v>
      </c>
      <c r="AG28" s="60" t="b">
        <f>IF(Betriebsdaten!J15=2024,TRUE,FALSE)</f>
        <v>0</v>
      </c>
      <c r="AH28" s="60" t="b">
        <f t="shared" si="4"/>
        <v>0</v>
      </c>
      <c r="AI28" s="60">
        <v>134.04</v>
      </c>
      <c r="AJ28" s="60">
        <f>AI28*$Y19</f>
        <v>0</v>
      </c>
      <c r="AK28" s="61" t="s">
        <v>12</v>
      </c>
      <c r="AL28" s="60"/>
      <c r="AM28" s="60"/>
      <c r="AN28" s="60"/>
    </row>
    <row r="29" spans="1:40" ht="15.75" thickBot="1" x14ac:dyDescent="0.3">
      <c r="A29" s="103"/>
      <c r="B29" s="241"/>
      <c r="C29" s="69"/>
      <c r="D29" s="50"/>
      <c r="E29" s="57"/>
      <c r="F29" s="168" t="s">
        <v>18</v>
      </c>
      <c r="G29" s="31" t="s">
        <v>6</v>
      </c>
      <c r="H29" s="12"/>
      <c r="I29" s="12"/>
      <c r="J29" s="12">
        <v>150</v>
      </c>
      <c r="K29" s="12">
        <v>150</v>
      </c>
      <c r="L29" s="13">
        <v>150</v>
      </c>
      <c r="M29" s="169">
        <v>150</v>
      </c>
      <c r="N29" s="598"/>
      <c r="O29" s="103"/>
      <c r="P29" s="103"/>
      <c r="Q29" s="103"/>
      <c r="R29" s="103"/>
      <c r="S29" s="330"/>
      <c r="T29" s="74"/>
      <c r="U29" s="60"/>
      <c r="V29" s="60"/>
      <c r="W29" s="66" t="s">
        <v>12</v>
      </c>
      <c r="X29" s="69">
        <v>0.01</v>
      </c>
      <c r="Y29" s="69">
        <f>X29*Betriebsdaten!$E10</f>
        <v>0</v>
      </c>
      <c r="Z29" s="73"/>
      <c r="AA29" s="73"/>
      <c r="AB29" s="73" t="s">
        <v>16</v>
      </c>
      <c r="AC29" s="73"/>
      <c r="AD29" s="61" t="s">
        <v>12</v>
      </c>
      <c r="AE29" s="61" t="s">
        <v>12</v>
      </c>
      <c r="AF29" s="60">
        <v>2025</v>
      </c>
      <c r="AG29" s="60" t="b">
        <f>IF(Betriebsdaten!J15=2025,TRUE,FALSE)</f>
        <v>0</v>
      </c>
      <c r="AH29" s="60" t="b">
        <f t="shared" si="4"/>
        <v>0</v>
      </c>
      <c r="AI29" s="60">
        <v>134.04</v>
      </c>
      <c r="AJ29" s="60">
        <f>AI29*$Y19</f>
        <v>0</v>
      </c>
      <c r="AK29" s="61" t="s">
        <v>12</v>
      </c>
      <c r="AL29" s="60"/>
      <c r="AM29" s="60"/>
      <c r="AN29" s="60"/>
    </row>
    <row r="30" spans="1:40" ht="15.75" thickBot="1" x14ac:dyDescent="0.3">
      <c r="A30" s="103"/>
      <c r="B30" s="243">
        <f>ROUNDDOWN(IF(D28&lt;=6%,Betriebsdaten!$E10*D28,MAX(6%*Betriebsdaten!E10)),4)</f>
        <v>0</v>
      </c>
      <c r="C30" s="204" t="s">
        <v>20</v>
      </c>
      <c r="D30" s="213"/>
      <c r="E30" s="205" t="str">
        <f>IF(D30&gt;0%,T30,"-")</f>
        <v>-</v>
      </c>
      <c r="F30" s="166" t="s">
        <v>104</v>
      </c>
      <c r="G30" s="32" t="s">
        <v>7</v>
      </c>
      <c r="H30" s="1"/>
      <c r="I30" s="1"/>
      <c r="J30" s="142">
        <f>IF(E30=TRUE,$D30*J29,)</f>
        <v>0</v>
      </c>
      <c r="K30" s="142">
        <f>IF(E30=TRUE,$D30*K29,)</f>
        <v>0</v>
      </c>
      <c r="L30" s="142">
        <f>IF(E30=TRUE,$D30*L29,)</f>
        <v>0</v>
      </c>
      <c r="M30" s="170">
        <f>IF(E30=TRUE,$D30*M29,)</f>
        <v>0</v>
      </c>
      <c r="N30" s="598"/>
      <c r="O30" s="103"/>
      <c r="P30" s="103"/>
      <c r="Q30" s="103"/>
      <c r="R30" s="103"/>
      <c r="S30" s="330"/>
      <c r="T30" s="75" t="b">
        <f>IF(D30&lt;=B30,TRUE,FALSE)</f>
        <v>1</v>
      </c>
      <c r="U30" s="60"/>
      <c r="V30" s="60"/>
      <c r="W30" s="66" t="s">
        <v>12</v>
      </c>
      <c r="X30" s="69"/>
      <c r="Y30" s="69"/>
      <c r="Z30" s="73"/>
      <c r="AA30" s="73"/>
      <c r="AB30" s="73" t="b">
        <f>IF(AND(D28&gt;0%,D28&lt;7%),TRUE,FALSE)</f>
        <v>0</v>
      </c>
      <c r="AC30" s="73" t="b">
        <f>IF(AB30=TRUE,1%)</f>
        <v>0</v>
      </c>
      <c r="AD30" s="61" t="s">
        <v>12</v>
      </c>
      <c r="AE30" s="61" t="s">
        <v>12</v>
      </c>
      <c r="AF30" s="60">
        <v>2026</v>
      </c>
      <c r="AG30" s="60" t="b">
        <f>IF(Betriebsdaten!J15=2026,TRUE,FALSE)</f>
        <v>0</v>
      </c>
      <c r="AH30" s="60" t="b">
        <f t="shared" si="4"/>
        <v>0</v>
      </c>
      <c r="AI30" s="60">
        <v>134.04</v>
      </c>
      <c r="AJ30" s="60">
        <f>AI30*$Y19</f>
        <v>0</v>
      </c>
      <c r="AK30" s="61" t="s">
        <v>12</v>
      </c>
      <c r="AL30" s="60"/>
      <c r="AM30" s="60"/>
      <c r="AN30" s="60"/>
    </row>
    <row r="31" spans="1:40" ht="15.75" thickBot="1" x14ac:dyDescent="0.3">
      <c r="A31" s="103"/>
      <c r="B31" s="244"/>
      <c r="C31" s="245"/>
      <c r="D31" s="50"/>
      <c r="E31" s="54"/>
      <c r="F31" s="168" t="s">
        <v>44</v>
      </c>
      <c r="G31" s="31" t="s">
        <v>6</v>
      </c>
      <c r="H31" s="12"/>
      <c r="I31" s="12"/>
      <c r="J31" s="14">
        <v>150</v>
      </c>
      <c r="K31" s="14">
        <v>150</v>
      </c>
      <c r="L31" s="14">
        <v>150</v>
      </c>
      <c r="M31" s="171">
        <v>150</v>
      </c>
      <c r="N31" s="598"/>
      <c r="O31" s="103"/>
      <c r="P31" s="103"/>
      <c r="Q31" s="103"/>
      <c r="R31" s="103"/>
      <c r="S31" s="330"/>
      <c r="T31" s="74"/>
      <c r="U31" s="60"/>
      <c r="V31" s="60"/>
      <c r="W31" s="66" t="s">
        <v>12</v>
      </c>
      <c r="X31" s="69" t="s">
        <v>19</v>
      </c>
      <c r="Y31" s="69"/>
      <c r="Z31" s="73"/>
      <c r="AA31" s="73"/>
      <c r="AB31" s="73" t="b">
        <f>IF(AND(D28&gt;1%,D28&lt;7%),TRUE,FALSE)</f>
        <v>0</v>
      </c>
      <c r="AC31" s="73" t="b">
        <f>IF(AB31=TRUE,2%)</f>
        <v>0</v>
      </c>
      <c r="AD31" s="61" t="s">
        <v>12</v>
      </c>
      <c r="AE31" s="61" t="s">
        <v>27</v>
      </c>
      <c r="AF31" s="61" t="s">
        <v>10</v>
      </c>
      <c r="AG31" s="61" t="s">
        <v>10</v>
      </c>
      <c r="AH31" s="61" t="s">
        <v>10</v>
      </c>
      <c r="AI31" s="61" t="s">
        <v>10</v>
      </c>
      <c r="AJ31" s="61" t="s">
        <v>10</v>
      </c>
      <c r="AK31" s="61" t="s">
        <v>28</v>
      </c>
      <c r="AL31" s="60"/>
      <c r="AM31" s="60"/>
      <c r="AN31" s="60"/>
    </row>
    <row r="32" spans="1:40" ht="15.75" thickBot="1" x14ac:dyDescent="0.3">
      <c r="A32" s="103"/>
      <c r="B32" s="243">
        <f>ROUNDDOWN(Betriebsdaten!E12,4)</f>
        <v>0</v>
      </c>
      <c r="C32" s="204" t="s">
        <v>20</v>
      </c>
      <c r="D32" s="213"/>
      <c r="E32" s="207" t="str">
        <f>IF(D32&gt;0,T32,"-")</f>
        <v>-</v>
      </c>
      <c r="F32" s="172" t="s">
        <v>105</v>
      </c>
      <c r="G32" s="32" t="s">
        <v>7</v>
      </c>
      <c r="H32" s="1"/>
      <c r="I32" s="1"/>
      <c r="J32" s="142">
        <f>IF(E32=TRUE,J31*$D32,)</f>
        <v>0</v>
      </c>
      <c r="K32" s="142">
        <f>IF(E32=TRUE,K31*$D32,)</f>
        <v>0</v>
      </c>
      <c r="L32" s="142">
        <f>IF(E32=TRUE,L31*$D32,)</f>
        <v>0</v>
      </c>
      <c r="M32" s="170">
        <f>IF(E32=TRUE,M31*$D32,)</f>
        <v>0</v>
      </c>
      <c r="N32" s="598"/>
      <c r="O32" s="103"/>
      <c r="P32" s="103"/>
      <c r="Q32" s="103"/>
      <c r="R32" s="103"/>
      <c r="S32" s="330"/>
      <c r="T32" s="75" t="b">
        <f>IF(D32&lt;=B32,TRUE,FALSE)</f>
        <v>1</v>
      </c>
      <c r="U32" s="60"/>
      <c r="V32" s="60"/>
      <c r="W32" s="66" t="s">
        <v>12</v>
      </c>
      <c r="X32" s="69">
        <v>0.01</v>
      </c>
      <c r="Y32" s="69">
        <v>1300</v>
      </c>
      <c r="Z32" s="73">
        <f>$Y29*Y32</f>
        <v>0</v>
      </c>
      <c r="AA32" s="73"/>
      <c r="AB32" s="73" t="b">
        <f>IF(AND(D28&gt;2%,D28&lt;7%),TRUE,FALSE)</f>
        <v>0</v>
      </c>
      <c r="AC32" s="73" t="b">
        <f>IF(AB32=TRUE,3%)</f>
        <v>0</v>
      </c>
      <c r="AD32" s="61" t="s">
        <v>12</v>
      </c>
      <c r="AE32" s="61" t="s">
        <v>9</v>
      </c>
      <c r="AF32" s="61" t="s">
        <v>10</v>
      </c>
      <c r="AG32" s="61" t="s">
        <v>10</v>
      </c>
      <c r="AH32" s="61" t="s">
        <v>10</v>
      </c>
      <c r="AI32" s="61" t="s">
        <v>10</v>
      </c>
      <c r="AJ32" s="61" t="s">
        <v>10</v>
      </c>
      <c r="AK32" s="61" t="s">
        <v>10</v>
      </c>
      <c r="AL32" s="61" t="s">
        <v>10</v>
      </c>
      <c r="AM32" s="71" t="s">
        <v>11</v>
      </c>
      <c r="AN32" s="60"/>
    </row>
    <row r="33" spans="1:40" ht="15.75" customHeight="1" thickBot="1" x14ac:dyDescent="0.3">
      <c r="A33" s="103"/>
      <c r="B33" s="241"/>
      <c r="C33" s="69"/>
      <c r="D33" s="50"/>
      <c r="E33" s="258" t="s">
        <v>17</v>
      </c>
      <c r="F33" s="168" t="s">
        <v>21</v>
      </c>
      <c r="G33" s="31" t="s">
        <v>22</v>
      </c>
      <c r="H33" s="12"/>
      <c r="I33" s="12"/>
      <c r="J33" s="28">
        <f>IF(J34&gt;0,AI38,0)</f>
        <v>0</v>
      </c>
      <c r="K33" s="28">
        <f>IF(K34&gt;0,AJ38,0)</f>
        <v>0</v>
      </c>
      <c r="L33" s="28">
        <f>IF(L34&gt;0,AK38,0)</f>
        <v>0</v>
      </c>
      <c r="M33" s="173">
        <f>IF(M34&gt;0,AL38,0)</f>
        <v>0</v>
      </c>
      <c r="N33" s="598"/>
      <c r="O33" s="103"/>
      <c r="P33" s="103"/>
      <c r="Q33" s="103"/>
      <c r="R33" s="103"/>
      <c r="S33" s="330"/>
      <c r="T33" s="74"/>
      <c r="U33" s="60"/>
      <c r="V33" s="60"/>
      <c r="W33" s="66" t="s">
        <v>12</v>
      </c>
      <c r="X33" s="69">
        <v>0.02</v>
      </c>
      <c r="Y33" s="69">
        <v>500</v>
      </c>
      <c r="Z33" s="73">
        <f>$Y29*Y33</f>
        <v>0</v>
      </c>
      <c r="AA33" s="73"/>
      <c r="AB33" s="73" t="b">
        <f>IF(AND(D28&gt;3%,D28&lt;7%),TRUE,FALSE)</f>
        <v>0</v>
      </c>
      <c r="AC33" s="73" t="b">
        <f>IF(AB33=TRUE,4%)</f>
        <v>0</v>
      </c>
      <c r="AD33" s="61" t="s">
        <v>12</v>
      </c>
      <c r="AE33" s="61" t="s">
        <v>12</v>
      </c>
      <c r="AF33" s="60" t="s">
        <v>69</v>
      </c>
      <c r="AG33" s="60"/>
      <c r="AH33" s="52">
        <f>IF(AH34&gt;0,IF(Betriebsdaten!J13=0,(Betriebsdaten!J9*1+Betriebsdaten!J11*0.15)/Betriebsdaten!E11,Betriebsdaten!J13),)</f>
        <v>0</v>
      </c>
      <c r="AI33" s="597" t="s">
        <v>229</v>
      </c>
      <c r="AJ33" s="597"/>
      <c r="AK33" s="597"/>
      <c r="AL33" s="61" t="s">
        <v>12</v>
      </c>
      <c r="AM33" s="61" t="s">
        <v>12</v>
      </c>
      <c r="AN33" s="60"/>
    </row>
    <row r="34" spans="1:40" ht="15.75" thickBot="1" x14ac:dyDescent="0.3">
      <c r="A34" s="103"/>
      <c r="B34" s="413">
        <f>ROUNDDOWN(MIN(0.06*Betriebsdaten!E11,D34*Betriebsdaten!E11),4)</f>
        <v>0</v>
      </c>
      <c r="C34" s="209" t="s">
        <v>94</v>
      </c>
      <c r="D34" s="262"/>
      <c r="E34" s="205" t="str">
        <f>IF(D34&gt;0%,T34,"-")</f>
        <v>-</v>
      </c>
      <c r="F34" s="166" t="s">
        <v>52</v>
      </c>
      <c r="G34" s="32" t="s">
        <v>7</v>
      </c>
      <c r="H34" s="1"/>
      <c r="I34" s="1"/>
      <c r="J34" s="142">
        <f>SUMIFS(Z47:Z54,X47:X54,AC45)+SUMIFS(Z47:Z54,X47:X54,AC46)+SUMIFS(Z47:Z54,X47:X54,AC47)+SUMIFS(Z47:Z54,X47:X54,AC48)+SUMIFS(Z47:Z54,X47:X54,AC51)+SUMIFS(Z47:Z54,X47:X54,AC52)</f>
        <v>0</v>
      </c>
      <c r="K34" s="142">
        <f>SUMIFS(Z47:Z54,X47:X54,AC45)+SUMIFS(Z47:Z54,X47:X54,AC46)+SUMIFS(Z47:Z54,X47:X54,AC47)+SUMIFS(Z47:Z54,X47:X54,AC48)+SUMIFS(Z47:Z54,X47:X54,AC51)+SUMIFS(Z47:Z54,X47:X54,AC52)</f>
        <v>0</v>
      </c>
      <c r="L34" s="149">
        <f>SUMIFS(Z47:Z54,X47:X54,AC45)+SUMIFS(Z47:Z54,X47:X54,AC46)+SUMIFS(Z47:Z54,X47:X54,AC47)+SUMIFS(Z47:Z54,X47:X54,AC48)+SUMIFS(Z47:Z54,X47:X54,AC51)+SUMIFS(Z47:Z54,X47:X54,AC52)</f>
        <v>0</v>
      </c>
      <c r="M34" s="170">
        <f>SUMIFS(Z47:Z54,X47:X54,AC45)+SUMIFS(Z47:Z54,X47:X54,AC46)+SUMIFS(Z47:Z54,X47:X54,AC47)+SUMIFS(Z47:Z54,X47:X54,AC48)+SUMIFS(Z47:Z54,X47:X54,AC51)+SUMIFS(Z47:Z54,X47:X54,AC52)</f>
        <v>0</v>
      </c>
      <c r="N34" s="598"/>
      <c r="O34" s="103"/>
      <c r="P34" s="103"/>
      <c r="Q34" s="103"/>
      <c r="R34" s="103"/>
      <c r="S34" s="330"/>
      <c r="T34" s="259" t="b">
        <f>IF(AND(D34&lt;=6%,Betriebsdaten!E11&gt;0),TRUE,FALSE)</f>
        <v>0</v>
      </c>
      <c r="U34" s="60"/>
      <c r="V34" s="60"/>
      <c r="W34" s="66" t="s">
        <v>12</v>
      </c>
      <c r="X34" s="69">
        <v>0.03</v>
      </c>
      <c r="Y34" s="69">
        <v>300</v>
      </c>
      <c r="Z34" s="73">
        <f>$Y29*Y34</f>
        <v>0</v>
      </c>
      <c r="AA34" s="73"/>
      <c r="AB34" s="73" t="b">
        <f>IF(AND(D28&gt;4%,D28&lt;7%),TRUE,FALSE)</f>
        <v>0</v>
      </c>
      <c r="AC34" s="73" t="b">
        <f>IF(AB34=TRUE,5%)</f>
        <v>0</v>
      </c>
      <c r="AD34" s="61" t="s">
        <v>12</v>
      </c>
      <c r="AE34" s="61" t="s">
        <v>12</v>
      </c>
      <c r="AF34" s="60" t="s">
        <v>90</v>
      </c>
      <c r="AG34" s="60"/>
      <c r="AH34" s="60">
        <f>IF(AND(OR((Betriebsdaten!J11+Betriebsdaten!J9)&gt;0,Betriebsdaten!M9="ja",Betriebsdaten!M11="ja"),Betriebsdaten!E11&gt;0,Betriebsdaten!E9&gt;0),IF(Betriebsdaten!J13=0,(Betriebsdaten!J9*1+Betriebsdaten!J11*0.15)/Betriebsdaten!E11,Betriebsdaten!J13),0)</f>
        <v>0</v>
      </c>
      <c r="AI34" s="597"/>
      <c r="AJ34" s="597"/>
      <c r="AK34" s="597"/>
      <c r="AL34" s="66" t="s">
        <v>12</v>
      </c>
      <c r="AM34" s="61" t="s">
        <v>12</v>
      </c>
      <c r="AN34" s="60"/>
    </row>
    <row r="35" spans="1:40" ht="15.75" thickBot="1" x14ac:dyDescent="0.3">
      <c r="A35" s="103"/>
      <c r="B35" s="241"/>
      <c r="C35" s="69"/>
      <c r="D35" s="50"/>
      <c r="E35" s="54"/>
      <c r="F35" s="168" t="s">
        <v>23</v>
      </c>
      <c r="G35" s="31" t="s">
        <v>6</v>
      </c>
      <c r="H35" s="12"/>
      <c r="I35" s="12"/>
      <c r="J35" s="12">
        <v>45</v>
      </c>
      <c r="K35" s="12">
        <v>45</v>
      </c>
      <c r="L35" s="13">
        <v>45</v>
      </c>
      <c r="M35" s="169">
        <v>45</v>
      </c>
      <c r="N35" s="598"/>
      <c r="O35" s="103"/>
      <c r="P35" s="103"/>
      <c r="Q35" s="103"/>
      <c r="R35" s="103"/>
      <c r="S35" s="330"/>
      <c r="T35" s="74"/>
      <c r="U35" s="60"/>
      <c r="V35" s="60"/>
      <c r="W35" s="66" t="s">
        <v>12</v>
      </c>
      <c r="X35" s="69">
        <v>0.04</v>
      </c>
      <c r="Y35" s="69">
        <v>300</v>
      </c>
      <c r="Z35" s="73">
        <f>$Y29*Y35</f>
        <v>0</v>
      </c>
      <c r="AA35" s="73"/>
      <c r="AB35" s="73" t="b">
        <f>IF(AND(D28&gt;5%,D28&lt;7%),TRUE,FALSE)</f>
        <v>0</v>
      </c>
      <c r="AC35" s="73" t="b">
        <f>IF(AB35=TRUE,6%)</f>
        <v>0</v>
      </c>
      <c r="AD35" s="61" t="s">
        <v>12</v>
      </c>
      <c r="AE35" s="61" t="s">
        <v>9</v>
      </c>
      <c r="AF35" s="61" t="s">
        <v>10</v>
      </c>
      <c r="AG35" s="61" t="s">
        <v>10</v>
      </c>
      <c r="AH35" s="61" t="s">
        <v>10</v>
      </c>
      <c r="AJ35" s="60"/>
      <c r="AK35" s="60"/>
      <c r="AL35" s="61" t="s">
        <v>28</v>
      </c>
      <c r="AM35" s="61" t="s">
        <v>12</v>
      </c>
      <c r="AN35" s="60"/>
    </row>
    <row r="36" spans="1:40" ht="15.75" thickBot="1" x14ac:dyDescent="0.3">
      <c r="A36" s="103"/>
      <c r="B36" s="243">
        <f>ROUNDDOWN(IF(Betriebsdaten!J21="ja",MAX(0,Betriebsdaten!E10*(1-D28)-Rechner!D62-Rechner!D63),MAX(0,Betriebsdaten!E10*(1-D28-0.04)-D62-D63)),4)</f>
        <v>0</v>
      </c>
      <c r="C36" s="204" t="s">
        <v>91</v>
      </c>
      <c r="D36" s="213"/>
      <c r="E36" s="210" t="str">
        <f>IF(D36="ja",T36,"-")</f>
        <v>-</v>
      </c>
      <c r="F36" s="166" t="s">
        <v>53</v>
      </c>
      <c r="G36" s="32" t="s">
        <v>7</v>
      </c>
      <c r="H36" s="1"/>
      <c r="I36" s="1"/>
      <c r="J36" s="142">
        <f>IF(D36="Ja",J35*$B36,0)</f>
        <v>0</v>
      </c>
      <c r="K36" s="142">
        <f>IF(D36="Ja",K35*$B36,0)</f>
        <v>0</v>
      </c>
      <c r="L36" s="142">
        <f>IF(D36="Ja",L35*$B36,0)</f>
        <v>0</v>
      </c>
      <c r="M36" s="170">
        <f>IF(D36="Ja",M35*$B36,0)</f>
        <v>0</v>
      </c>
      <c r="N36" s="598"/>
      <c r="O36" s="103"/>
      <c r="P36" s="103"/>
      <c r="Q36" s="103"/>
      <c r="R36" s="103"/>
      <c r="S36" s="330"/>
      <c r="T36" s="260" t="b">
        <f>IF(Betriebsdaten!E10&gt;0,TRUE,FALSE)</f>
        <v>0</v>
      </c>
      <c r="U36" s="60"/>
      <c r="V36" s="60"/>
      <c r="W36" s="66" t="s">
        <v>12</v>
      </c>
      <c r="X36" s="69">
        <v>0.05</v>
      </c>
      <c r="Y36" s="69">
        <v>300</v>
      </c>
      <c r="Z36" s="73">
        <f>$Y29*Y36</f>
        <v>0</v>
      </c>
      <c r="AA36" s="73"/>
      <c r="AB36" s="73"/>
      <c r="AC36" s="73"/>
      <c r="AD36" s="61" t="s">
        <v>12</v>
      </c>
      <c r="AE36" s="61" t="s">
        <v>12</v>
      </c>
      <c r="AF36" s="60"/>
      <c r="AG36" s="60">
        <v>2021</v>
      </c>
      <c r="AH36" s="60">
        <v>2022</v>
      </c>
      <c r="AI36" s="60">
        <v>2023</v>
      </c>
      <c r="AJ36" s="60">
        <v>2024</v>
      </c>
      <c r="AK36" s="60">
        <v>2025</v>
      </c>
      <c r="AL36" s="60">
        <v>2026</v>
      </c>
      <c r="AM36" s="61" t="s">
        <v>12</v>
      </c>
      <c r="AN36" s="60"/>
    </row>
    <row r="37" spans="1:40" ht="15.75" thickBot="1" x14ac:dyDescent="0.3">
      <c r="A37" s="103"/>
      <c r="B37" s="241"/>
      <c r="C37" s="69"/>
      <c r="D37" s="50"/>
      <c r="E37" s="54"/>
      <c r="F37" s="168" t="s">
        <v>43</v>
      </c>
      <c r="G37" s="31" t="s">
        <v>6</v>
      </c>
      <c r="H37" s="12"/>
      <c r="I37" s="12"/>
      <c r="J37" s="14">
        <v>60</v>
      </c>
      <c r="K37" s="14">
        <v>60</v>
      </c>
      <c r="L37" s="14">
        <v>60</v>
      </c>
      <c r="M37" s="171">
        <v>60</v>
      </c>
      <c r="N37" s="598"/>
      <c r="O37" s="103"/>
      <c r="P37" s="103"/>
      <c r="Q37" s="103"/>
      <c r="R37" s="103"/>
      <c r="S37" s="330"/>
      <c r="T37" s="74"/>
      <c r="U37" s="60"/>
      <c r="V37" s="60"/>
      <c r="W37" s="66" t="s">
        <v>12</v>
      </c>
      <c r="X37" s="69">
        <v>0.06</v>
      </c>
      <c r="Y37" s="69">
        <v>300</v>
      </c>
      <c r="Z37" s="73">
        <f>$Y29*Y37</f>
        <v>0</v>
      </c>
      <c r="AA37" s="73"/>
      <c r="AB37" s="73" t="s">
        <v>25</v>
      </c>
      <c r="AC37" s="73"/>
      <c r="AD37" s="61" t="s">
        <v>12</v>
      </c>
      <c r="AE37" s="61" t="s">
        <v>12</v>
      </c>
      <c r="AF37" s="73" t="s">
        <v>83</v>
      </c>
      <c r="AG37" s="73"/>
      <c r="AH37" s="73"/>
      <c r="AI37" s="69" t="e">
        <f>J28/B30</f>
        <v>#DIV/0!</v>
      </c>
      <c r="AJ37" s="69" t="e">
        <f>K28/B30</f>
        <v>#DIV/0!</v>
      </c>
      <c r="AK37" s="69" t="e">
        <f>L28/B30</f>
        <v>#DIV/0!</v>
      </c>
      <c r="AL37" s="69" t="e">
        <f>M28/B30</f>
        <v>#DIV/0!</v>
      </c>
      <c r="AM37" s="61" t="s">
        <v>12</v>
      </c>
      <c r="AN37" s="60"/>
    </row>
    <row r="38" spans="1:40" ht="15.75" thickBot="1" x14ac:dyDescent="0.3">
      <c r="A38" s="103"/>
      <c r="B38" s="413">
        <f>ROUNDDOWN(Betriebsdaten!E20,4)</f>
        <v>0</v>
      </c>
      <c r="C38" s="209" t="s">
        <v>20</v>
      </c>
      <c r="D38" s="213"/>
      <c r="E38" s="207" t="str">
        <f>IF(D38&gt;0,T38,"-")</f>
        <v>-</v>
      </c>
      <c r="F38" s="166" t="s">
        <v>54</v>
      </c>
      <c r="G38" s="32" t="s">
        <v>7</v>
      </c>
      <c r="H38" s="1"/>
      <c r="I38" s="1"/>
      <c r="J38" s="142">
        <f>IF(E38=TRUE,J37*$D38,)</f>
        <v>0</v>
      </c>
      <c r="K38" s="142">
        <f>IF(E38=TRUE,K37*$D38,)</f>
        <v>0</v>
      </c>
      <c r="L38" s="142">
        <f>IF(E38=TRUE,L37*$D38,)</f>
        <v>0</v>
      </c>
      <c r="M38" s="170">
        <f>IF(E38=TRUE,M37*$D38,)</f>
        <v>0</v>
      </c>
      <c r="N38" s="598"/>
      <c r="O38" s="103"/>
      <c r="P38" s="103"/>
      <c r="Q38" s="103"/>
      <c r="R38" s="103"/>
      <c r="S38" s="330"/>
      <c r="T38" s="75" t="b">
        <f>IF(D38&gt;B38,FALSE,TRUE)</f>
        <v>1</v>
      </c>
      <c r="U38" s="60"/>
      <c r="V38" s="60"/>
      <c r="W38" s="66" t="s">
        <v>12</v>
      </c>
      <c r="X38" s="69"/>
      <c r="Y38" s="69"/>
      <c r="Z38" s="73"/>
      <c r="AA38" s="73"/>
      <c r="AB38" s="73">
        <f>SUMIFS(Z32:Z37,X32:X37,AC30)+SUMIFS(Z32:Z37,X32:X37,AC31)+SUMIFS(Z32:Z37,X32:X37,AC32)+SUMIFS(Z32:Z37,X32:X37,AC33)+SUMIFS(Z32:Z37,X32:X37,AC34)+SUMIFS(Z32:Z37,X32:X37,AC35)</f>
        <v>0</v>
      </c>
      <c r="AC38" s="73"/>
      <c r="AD38" s="61" t="s">
        <v>12</v>
      </c>
      <c r="AE38" s="61" t="s">
        <v>12</v>
      </c>
      <c r="AF38" s="76" t="s">
        <v>21</v>
      </c>
      <c r="AG38" s="73"/>
      <c r="AH38" s="73"/>
      <c r="AI38" s="69" t="e">
        <f>J34/(D34*Betriebsdaten!E11)</f>
        <v>#DIV/0!</v>
      </c>
      <c r="AJ38" s="69" t="e">
        <f>K34/(D34*Betriebsdaten!E11)</f>
        <v>#DIV/0!</v>
      </c>
      <c r="AK38" s="69" t="e">
        <f>L34/(D34*Betriebsdaten!E11)</f>
        <v>#DIV/0!</v>
      </c>
      <c r="AL38" s="69" t="e">
        <f>M34/(D34*Betriebsdaten!E11)</f>
        <v>#DIV/0!</v>
      </c>
      <c r="AM38" s="61" t="s">
        <v>12</v>
      </c>
      <c r="AN38" s="60"/>
    </row>
    <row r="39" spans="1:40" ht="15.75" thickBot="1" x14ac:dyDescent="0.3">
      <c r="A39" s="103"/>
      <c r="B39" s="244"/>
      <c r="C39" s="245"/>
      <c r="D39" s="50"/>
      <c r="E39" s="54"/>
      <c r="F39" s="168" t="s">
        <v>24</v>
      </c>
      <c r="G39" s="31" t="s">
        <v>6</v>
      </c>
      <c r="H39" s="12"/>
      <c r="I39" s="12"/>
      <c r="J39" s="12">
        <v>115</v>
      </c>
      <c r="K39" s="12">
        <v>100</v>
      </c>
      <c r="L39" s="13">
        <v>100</v>
      </c>
      <c r="M39" s="169">
        <v>100</v>
      </c>
      <c r="N39" s="598"/>
      <c r="O39" s="103"/>
      <c r="P39" s="103"/>
      <c r="Q39" s="103"/>
      <c r="R39" s="103"/>
      <c r="S39" s="330"/>
      <c r="T39" s="74"/>
      <c r="U39" s="60"/>
      <c r="V39" s="60"/>
      <c r="W39" s="66" t="s">
        <v>27</v>
      </c>
      <c r="X39" s="66" t="s">
        <v>10</v>
      </c>
      <c r="Y39" s="66" t="s">
        <v>10</v>
      </c>
      <c r="Z39" s="61" t="s">
        <v>10</v>
      </c>
      <c r="AA39" s="61" t="s">
        <v>10</v>
      </c>
      <c r="AB39" s="61" t="s">
        <v>10</v>
      </c>
      <c r="AC39" s="61" t="s">
        <v>10</v>
      </c>
      <c r="AD39" s="71" t="s">
        <v>28</v>
      </c>
      <c r="AE39" s="61" t="s">
        <v>12</v>
      </c>
      <c r="AF39" s="73"/>
      <c r="AG39" s="73"/>
      <c r="AH39" s="73"/>
      <c r="AI39" s="73"/>
      <c r="AJ39" s="73"/>
      <c r="AK39" s="73"/>
      <c r="AL39" s="73"/>
      <c r="AM39" s="61" t="s">
        <v>12</v>
      </c>
      <c r="AN39" s="60"/>
    </row>
    <row r="40" spans="1:40" ht="15.75" thickBot="1" x14ac:dyDescent="0.3">
      <c r="A40" s="103"/>
      <c r="B40" s="413">
        <f>ROUNDDOWN(IF(Betriebsdaten!J12&gt;=0.3,Betriebsdaten!E11,0),4)</f>
        <v>0</v>
      </c>
      <c r="C40" s="204" t="s">
        <v>91</v>
      </c>
      <c r="D40" s="213"/>
      <c r="E40" s="211" t="str">
        <f>IF(D40="ja",T40,"-")</f>
        <v>-</v>
      </c>
      <c r="F40" s="166" t="s">
        <v>55</v>
      </c>
      <c r="G40" s="32" t="s">
        <v>7</v>
      </c>
      <c r="H40" s="1"/>
      <c r="I40" s="1"/>
      <c r="J40" s="142">
        <f>IF($E40=TRUE,$B40*J39,)</f>
        <v>0</v>
      </c>
      <c r="K40" s="142">
        <f t="shared" ref="K40:M40" si="5">IF($E40=TRUE,$B40*K39,)</f>
        <v>0</v>
      </c>
      <c r="L40" s="142">
        <f t="shared" si="5"/>
        <v>0</v>
      </c>
      <c r="M40" s="170">
        <f t="shared" si="5"/>
        <v>0</v>
      </c>
      <c r="N40" s="598"/>
      <c r="O40" s="103"/>
      <c r="P40" s="103"/>
      <c r="Q40" s="103"/>
      <c r="R40" s="103"/>
      <c r="S40" s="330"/>
      <c r="T40" s="77" t="b">
        <f>IF(AND(AH33&lt;=1.44,0.3&lt;=AH33,B40&gt;0),TRUE,FALSE)</f>
        <v>0</v>
      </c>
      <c r="U40" s="60"/>
      <c r="V40" s="60"/>
      <c r="W40" s="52"/>
      <c r="X40" s="52"/>
      <c r="Y40" s="52"/>
      <c r="Z40" s="60"/>
      <c r="AA40" s="60"/>
      <c r="AB40" s="60"/>
      <c r="AC40" s="60"/>
      <c r="AD40" s="60"/>
      <c r="AE40" s="61" t="s">
        <v>12</v>
      </c>
      <c r="AF40" s="73" t="s">
        <v>84</v>
      </c>
      <c r="AG40" s="69" t="e">
        <f>H104/Betriebsdaten!$E9</f>
        <v>#DIV/0!</v>
      </c>
      <c r="AH40" s="69" t="e">
        <f>I104/Betriebsdaten!$E9</f>
        <v>#DIV/0!</v>
      </c>
      <c r="AI40" s="69" t="e">
        <f>J104/Betriebsdaten!$E9</f>
        <v>#DIV/0!</v>
      </c>
      <c r="AJ40" s="69" t="e">
        <f>K104/Betriebsdaten!$E9</f>
        <v>#DIV/0!</v>
      </c>
      <c r="AK40" s="69" t="e">
        <f>L104/Betriebsdaten!$E9</f>
        <v>#DIV/0!</v>
      </c>
      <c r="AL40" s="69" t="e">
        <f>M104/Betriebsdaten!$E9</f>
        <v>#DIV/0!</v>
      </c>
      <c r="AM40" s="61" t="s">
        <v>12</v>
      </c>
      <c r="AN40" s="60"/>
    </row>
    <row r="41" spans="1:40" ht="15.75" thickBot="1" x14ac:dyDescent="0.3">
      <c r="A41" s="103"/>
      <c r="B41" s="244"/>
      <c r="C41" s="245"/>
      <c r="D41" s="50"/>
      <c r="E41" s="54"/>
      <c r="F41" s="168" t="s">
        <v>26</v>
      </c>
      <c r="G41" s="31" t="s">
        <v>6</v>
      </c>
      <c r="H41" s="12"/>
      <c r="I41" s="12"/>
      <c r="J41" s="12">
        <v>240</v>
      </c>
      <c r="K41" s="12">
        <v>240</v>
      </c>
      <c r="L41" s="13">
        <v>225</v>
      </c>
      <c r="M41" s="169">
        <v>210</v>
      </c>
      <c r="N41" s="598"/>
      <c r="O41" s="103"/>
      <c r="P41" s="103"/>
      <c r="Q41" s="103"/>
      <c r="R41" s="103"/>
      <c r="S41" s="330"/>
      <c r="T41" s="74"/>
      <c r="U41" s="60"/>
      <c r="V41" s="60"/>
      <c r="W41" s="66" t="s">
        <v>9</v>
      </c>
      <c r="X41" s="66" t="s">
        <v>10</v>
      </c>
      <c r="Y41" s="66" t="s">
        <v>10</v>
      </c>
      <c r="Z41" s="61" t="s">
        <v>10</v>
      </c>
      <c r="AA41" s="61" t="s">
        <v>10</v>
      </c>
      <c r="AB41" s="61" t="s">
        <v>10</v>
      </c>
      <c r="AC41" s="61" t="s">
        <v>10</v>
      </c>
      <c r="AD41" s="71" t="s">
        <v>11</v>
      </c>
      <c r="AE41" s="61" t="s">
        <v>12</v>
      </c>
      <c r="AF41" s="76" t="s">
        <v>85</v>
      </c>
      <c r="AG41" s="69" t="e">
        <f>H106/Betriebsdaten!$E9</f>
        <v>#DIV/0!</v>
      </c>
      <c r="AH41" s="69" t="e">
        <f>I106/Betriebsdaten!$E9</f>
        <v>#DIV/0!</v>
      </c>
      <c r="AI41" s="69" t="e">
        <f>J106/Betriebsdaten!$E9</f>
        <v>#DIV/0!</v>
      </c>
      <c r="AJ41" s="69" t="e">
        <f>K106/Betriebsdaten!$E9</f>
        <v>#DIV/0!</v>
      </c>
      <c r="AK41" s="69" t="e">
        <f>L106/Betriebsdaten!$E9</f>
        <v>#DIV/0!</v>
      </c>
      <c r="AL41" s="69" t="e">
        <f>M106/Betriebsdaten!$E9</f>
        <v>#DIV/0!</v>
      </c>
      <c r="AM41" s="61" t="s">
        <v>12</v>
      </c>
      <c r="AN41" s="60"/>
    </row>
    <row r="42" spans="1:40" ht="15.75" thickBot="1" x14ac:dyDescent="0.3">
      <c r="A42" s="103"/>
      <c r="B42" s="413">
        <f>ROUNDDOWN(Betriebsdaten!E11,4)</f>
        <v>0</v>
      </c>
      <c r="C42" s="204" t="s">
        <v>20</v>
      </c>
      <c r="D42" s="213"/>
      <c r="E42" s="207" t="str">
        <f>IF(D42&gt;0,T42,"-")</f>
        <v>-</v>
      </c>
      <c r="F42" s="166" t="s">
        <v>100</v>
      </c>
      <c r="G42" s="32" t="s">
        <v>7</v>
      </c>
      <c r="H42" s="1"/>
      <c r="I42" s="1"/>
      <c r="J42" s="142">
        <f>IF(E42=TRUE,$D42*J41,)</f>
        <v>0</v>
      </c>
      <c r="K42" s="142">
        <f>IF(E42=TRUE,$D42*K41,)</f>
        <v>0</v>
      </c>
      <c r="L42" s="142">
        <f>IF(E42=TRUE,$D42*L41,)</f>
        <v>0</v>
      </c>
      <c r="M42" s="170">
        <f>IF(E42=TRUE,$D42*M41,)</f>
        <v>0</v>
      </c>
      <c r="N42" s="598"/>
      <c r="O42" s="103"/>
      <c r="P42" s="103"/>
      <c r="Q42" s="103"/>
      <c r="R42" s="103"/>
      <c r="S42" s="330"/>
      <c r="T42" s="75" t="b">
        <f>IF(D42&lt;=(Betriebsdaten!E11),TRUE,FALSE)</f>
        <v>1</v>
      </c>
      <c r="U42" s="60"/>
      <c r="V42" s="60"/>
      <c r="W42" s="66" t="s">
        <v>12</v>
      </c>
      <c r="X42" s="52" t="s">
        <v>30</v>
      </c>
      <c r="Y42" s="52"/>
      <c r="Z42" s="60"/>
      <c r="AA42" s="60"/>
      <c r="AB42" s="60"/>
      <c r="AC42" s="60"/>
      <c r="AD42" s="61" t="s">
        <v>12</v>
      </c>
      <c r="AE42" s="61" t="s">
        <v>27</v>
      </c>
      <c r="AF42" s="78" t="s">
        <v>10</v>
      </c>
      <c r="AG42" s="78" t="s">
        <v>10</v>
      </c>
      <c r="AH42" s="78" t="s">
        <v>10</v>
      </c>
      <c r="AI42" s="78" t="s">
        <v>10</v>
      </c>
      <c r="AJ42" s="78" t="s">
        <v>10</v>
      </c>
      <c r="AK42" s="78" t="s">
        <v>10</v>
      </c>
      <c r="AL42" s="78" t="s">
        <v>10</v>
      </c>
      <c r="AM42" s="78" t="s">
        <v>28</v>
      </c>
      <c r="AN42" s="60"/>
    </row>
    <row r="43" spans="1:40" ht="15.75" thickBot="1" x14ac:dyDescent="0.3">
      <c r="A43" s="103"/>
      <c r="B43" s="241"/>
      <c r="C43" s="69"/>
      <c r="D43" s="50"/>
      <c r="E43" s="54"/>
      <c r="F43" s="168" t="s">
        <v>56</v>
      </c>
      <c r="G43" s="31" t="s">
        <v>6</v>
      </c>
      <c r="H43" s="12"/>
      <c r="I43" s="12"/>
      <c r="J43" s="15" t="s">
        <v>47</v>
      </c>
      <c r="K43" s="15" t="s">
        <v>48</v>
      </c>
      <c r="L43" s="16" t="s">
        <v>49</v>
      </c>
      <c r="M43" s="174" t="s">
        <v>49</v>
      </c>
      <c r="N43" s="598"/>
      <c r="O43" s="103"/>
      <c r="P43" s="103"/>
      <c r="Q43" s="103"/>
      <c r="R43" s="103"/>
      <c r="S43" s="330"/>
      <c r="T43" s="74"/>
      <c r="U43" s="60"/>
      <c r="V43" s="60"/>
      <c r="W43" s="66" t="s">
        <v>12</v>
      </c>
      <c r="X43" s="69" t="s">
        <v>14</v>
      </c>
      <c r="Y43" s="69"/>
      <c r="Z43" s="73"/>
      <c r="AA43" s="73"/>
      <c r="AB43" s="73"/>
      <c r="AC43" s="73"/>
      <c r="AD43" s="61" t="s">
        <v>12</v>
      </c>
      <c r="AE43" s="61"/>
      <c r="AF43" s="60"/>
      <c r="AG43" s="60"/>
      <c r="AH43" s="60"/>
      <c r="AI43" s="60"/>
      <c r="AJ43" s="60"/>
      <c r="AK43" s="60"/>
      <c r="AL43" s="60"/>
      <c r="AM43" s="60"/>
      <c r="AN43" s="60"/>
    </row>
    <row r="44" spans="1:40" ht="15.75" thickBot="1" x14ac:dyDescent="0.3">
      <c r="A44" s="103"/>
      <c r="B44" s="241"/>
      <c r="C44" s="405">
        <f>ROUNDDOWN(MAX(0,IF(Betriebsdaten!J21="ja",Betriebsdaten!E10*(1-D28)+Betriebsdaten!E12-Rechner!D62-Rechner!D63,Betriebsdaten!E10*(1-D28-0.04)+Betriebsdaten!E12-D62-D63)),4)</f>
        <v>0</v>
      </c>
      <c r="D44" s="213"/>
      <c r="E44" s="246" t="str">
        <f>IF(D44&gt;0,T44,"-")</f>
        <v>-</v>
      </c>
      <c r="F44" s="175" t="s">
        <v>45</v>
      </c>
      <c r="G44" s="32" t="s">
        <v>7</v>
      </c>
      <c r="H44" s="17"/>
      <c r="I44" s="17"/>
      <c r="J44" s="150">
        <f>IF(E44=TRUE,130*$D44,)</f>
        <v>0</v>
      </c>
      <c r="K44" s="150">
        <f>IF(E44=TRUE,120*$D44,)</f>
        <v>0</v>
      </c>
      <c r="L44" s="150">
        <f>IF(E44=TRUE,110*$D44,)</f>
        <v>0</v>
      </c>
      <c r="M44" s="176">
        <f>IF(E44=TRUE,110*$D44,)</f>
        <v>0</v>
      </c>
      <c r="N44" s="598"/>
      <c r="O44" s="103"/>
      <c r="P44" s="103"/>
      <c r="Q44" s="103"/>
      <c r="R44" s="103"/>
      <c r="S44" s="330"/>
      <c r="T44" s="75" t="b">
        <f>IF(AND(IF(Betriebsdaten!J21="ja",D45+D44&lt;=Betriebsdaten!E10*(1-D28)+Betriebsdaten!E12-Rechner!D62-Rechner!D63,D45+D44&lt;=Betriebsdaten!E10*(1-D28-0.04)+Betriebsdaten!E12-D62-D63),D44+D45&lt;=C44),TRUE,FALSE)</f>
        <v>1</v>
      </c>
      <c r="U44" s="60"/>
      <c r="V44" s="60"/>
      <c r="W44" s="66" t="s">
        <v>12</v>
      </c>
      <c r="X44" s="69">
        <v>0.01</v>
      </c>
      <c r="Y44" s="69">
        <f>X44*Betriebsdaten!$E11</f>
        <v>0</v>
      </c>
      <c r="Z44" s="73"/>
      <c r="AA44" s="73"/>
      <c r="AB44" s="73" t="s">
        <v>16</v>
      </c>
      <c r="AC44" s="73"/>
      <c r="AD44" s="61" t="s">
        <v>12</v>
      </c>
      <c r="AE44" s="61" t="s">
        <v>9</v>
      </c>
      <c r="AF44" s="78" t="s">
        <v>10</v>
      </c>
      <c r="AG44" s="78" t="s">
        <v>10</v>
      </c>
      <c r="AH44" s="78" t="s">
        <v>10</v>
      </c>
      <c r="AI44" s="78" t="s">
        <v>10</v>
      </c>
      <c r="AJ44" s="78" t="s">
        <v>10</v>
      </c>
      <c r="AK44" s="79" t="s">
        <v>11</v>
      </c>
      <c r="AL44" s="60"/>
      <c r="AM44" s="60"/>
      <c r="AN44" s="60"/>
    </row>
    <row r="45" spans="1:40" ht="15.75" thickBot="1" x14ac:dyDescent="0.3">
      <c r="A45" s="103"/>
      <c r="B45" s="247"/>
      <c r="C45" s="212" t="s">
        <v>20</v>
      </c>
      <c r="D45" s="213"/>
      <c r="E45" s="207" t="str">
        <f>IF(D45&gt;0,T45,"-")</f>
        <v>-</v>
      </c>
      <c r="F45" s="166" t="s">
        <v>46</v>
      </c>
      <c r="G45" s="32" t="s">
        <v>7</v>
      </c>
      <c r="H45" s="1"/>
      <c r="I45" s="1"/>
      <c r="J45" s="142">
        <f>IF(E45=TRUE,50*$D45,)</f>
        <v>0</v>
      </c>
      <c r="K45" s="142">
        <f>IF(E45=TRUE,50*$D45,)</f>
        <v>0</v>
      </c>
      <c r="L45" s="142">
        <f>IF(E45=TRUE,50*$D45,)</f>
        <v>0</v>
      </c>
      <c r="M45" s="170">
        <f>IF(E45=TRUE,50*$D45,)</f>
        <v>0</v>
      </c>
      <c r="N45" s="598"/>
      <c r="O45" s="103"/>
      <c r="P45" s="103"/>
      <c r="Q45" s="103"/>
      <c r="R45" s="103"/>
      <c r="S45" s="330"/>
      <c r="T45" s="75" t="b">
        <f>IF(AND(IF(Betriebsdaten!J21="ja",D45+D44&lt;=Betriebsdaten!E10*(1-D28)+Betriebsdaten!E12-Rechner!D62-Rechner!D63,D45&lt;=Betriebsdaten!E10*(1-D28-0.04)+Betriebsdaten!E12-D62-D63),D44+D45&lt;=C44),TRUE,FALSE)</f>
        <v>1</v>
      </c>
      <c r="U45" s="60"/>
      <c r="V45" s="60"/>
      <c r="W45" s="66" t="s">
        <v>12</v>
      </c>
      <c r="X45" s="69"/>
      <c r="Y45" s="69"/>
      <c r="Z45" s="73"/>
      <c r="AA45" s="73"/>
      <c r="AB45" s="73" t="b">
        <f>IF(AND(D34&gt;0%,D34&lt;7%),TRUE,FALSE)</f>
        <v>0</v>
      </c>
      <c r="AC45" s="73" t="b">
        <f>IF(AB45=TRUE,1%)</f>
        <v>0</v>
      </c>
      <c r="AD45" s="61" t="s">
        <v>12</v>
      </c>
      <c r="AE45" s="61" t="s">
        <v>12</v>
      </c>
      <c r="AF45" s="60" t="s">
        <v>88</v>
      </c>
      <c r="AG45" s="60"/>
      <c r="AH45" s="60"/>
      <c r="AI45" s="60"/>
      <c r="AJ45" s="60"/>
      <c r="AK45" s="61" t="s">
        <v>12</v>
      </c>
      <c r="AL45" s="60"/>
      <c r="AM45" s="60"/>
      <c r="AN45" s="60"/>
    </row>
    <row r="46" spans="1:40" ht="15.75" thickBot="1" x14ac:dyDescent="0.3">
      <c r="A46" s="103"/>
      <c r="B46" s="241"/>
      <c r="C46" s="69"/>
      <c r="D46" s="50"/>
      <c r="E46" s="54"/>
      <c r="F46" s="168" t="s">
        <v>29</v>
      </c>
      <c r="G46" s="31" t="s">
        <v>6</v>
      </c>
      <c r="H46" s="12"/>
      <c r="I46" s="12"/>
      <c r="J46" s="12">
        <v>40</v>
      </c>
      <c r="K46" s="12">
        <v>40</v>
      </c>
      <c r="L46" s="13">
        <v>40</v>
      </c>
      <c r="M46" s="169">
        <v>40</v>
      </c>
      <c r="N46" s="598"/>
      <c r="O46" s="103"/>
      <c r="P46" s="103"/>
      <c r="Q46" s="103"/>
      <c r="R46" s="103"/>
      <c r="S46" s="103"/>
      <c r="T46" s="60"/>
      <c r="U46" s="80" t="s">
        <v>101</v>
      </c>
      <c r="V46" s="60"/>
      <c r="W46" s="66" t="s">
        <v>12</v>
      </c>
      <c r="X46" s="69" t="s">
        <v>19</v>
      </c>
      <c r="Y46" s="69"/>
      <c r="Z46" s="73"/>
      <c r="AA46" s="73"/>
      <c r="AB46" s="73" t="b">
        <f>IF(AND(D34&gt;1%,D34&lt;7%),TRUE,FALSE)</f>
        <v>0</v>
      </c>
      <c r="AC46" s="73" t="b">
        <f>IF(AB46=TRUE,2%)</f>
        <v>0</v>
      </c>
      <c r="AD46" s="61" t="s">
        <v>12</v>
      </c>
      <c r="AE46" s="61" t="s">
        <v>12</v>
      </c>
      <c r="AF46" s="60">
        <f>IF(D56&gt;=5*B34,(Betriebsdaten!E11-Betriebsdaten!E18)-D56,Betriebsdaten!E11*(1-D34))</f>
        <v>0</v>
      </c>
      <c r="AG46" s="60"/>
      <c r="AH46" s="60"/>
      <c r="AI46" s="60"/>
      <c r="AJ46" s="60"/>
      <c r="AK46" s="61" t="s">
        <v>12</v>
      </c>
      <c r="AL46" s="60"/>
      <c r="AM46" s="60"/>
      <c r="AN46" s="60"/>
    </row>
    <row r="47" spans="1:40" ht="15.75" thickBot="1" x14ac:dyDescent="0.3">
      <c r="A47" s="103"/>
      <c r="B47" s="413">
        <f>ROUNDDOWN(IF(AND(Betriebsdaten!G9=TRUE,Betriebsdaten!G18="-"),MIN(Betriebsdaten!E17,AF55),0),4)</f>
        <v>0</v>
      </c>
      <c r="C47" s="204" t="s">
        <v>89</v>
      </c>
      <c r="D47" s="213"/>
      <c r="E47" s="210" t="str">
        <f>IF(D47&gt;0,T47,"-")</f>
        <v>-</v>
      </c>
      <c r="F47" s="172" t="s">
        <v>57</v>
      </c>
      <c r="G47" s="33" t="s">
        <v>7</v>
      </c>
      <c r="H47" s="5"/>
      <c r="I47" s="5"/>
      <c r="J47" s="143">
        <f>IF(E47=TRUE,J46*$D47,)</f>
        <v>0</v>
      </c>
      <c r="K47" s="143">
        <f>IF(E47=TRUE,K46*$D47,)</f>
        <v>0</v>
      </c>
      <c r="L47" s="143">
        <f>IF(E47=TRUE,L46*$D47,)</f>
        <v>0</v>
      </c>
      <c r="M47" s="177">
        <f>IF(E47=TRUE,M46*$D47,)</f>
        <v>0</v>
      </c>
      <c r="N47" s="598"/>
      <c r="O47" s="103"/>
      <c r="P47" s="103"/>
      <c r="Q47" s="103"/>
      <c r="R47" s="103"/>
      <c r="S47" s="330"/>
      <c r="T47" s="81" t="b">
        <f>IF(AND(D47&lt;=Betriebsdaten!E17,D47&lt;=MAX(0,Betriebsdaten!E11-D52-D54-D56-D58-D60)+Betriebsdaten!E17-Betriebsdaten!E18),TRUE,FALSE)</f>
        <v>1</v>
      </c>
      <c r="U47" s="55">
        <f>MAX(0,D47-D69-D71-D73-D75-D77)</f>
        <v>0</v>
      </c>
      <c r="V47" s="60"/>
      <c r="W47" s="66" t="s">
        <v>12</v>
      </c>
      <c r="X47" s="69">
        <v>0.01</v>
      </c>
      <c r="Y47" s="69">
        <v>900</v>
      </c>
      <c r="Z47" s="73">
        <f>$Y44*Y47</f>
        <v>0</v>
      </c>
      <c r="AA47" s="73"/>
      <c r="AB47" s="73" t="b">
        <f>IF(AND(D34&gt;2%,D34&lt;7%),TRUE,FALSE)</f>
        <v>0</v>
      </c>
      <c r="AC47" s="73" t="b">
        <f>IF(AB47=TRUE,3%)</f>
        <v>0</v>
      </c>
      <c r="AD47" s="61" t="s">
        <v>12</v>
      </c>
      <c r="AE47" s="61" t="s">
        <v>9</v>
      </c>
      <c r="AF47" s="61" t="s">
        <v>10</v>
      </c>
      <c r="AG47" s="61" t="s">
        <v>10</v>
      </c>
      <c r="AH47" s="61" t="s">
        <v>10</v>
      </c>
      <c r="AI47" s="61" t="s">
        <v>10</v>
      </c>
      <c r="AJ47" s="61" t="s">
        <v>10</v>
      </c>
      <c r="AK47" s="71" t="s">
        <v>11</v>
      </c>
      <c r="AL47" s="60"/>
      <c r="AM47" s="60"/>
      <c r="AN47" s="60"/>
    </row>
    <row r="48" spans="1:40" ht="15.75" thickBot="1" x14ac:dyDescent="0.3">
      <c r="A48" s="234"/>
      <c r="B48" s="125"/>
      <c r="C48" s="50"/>
      <c r="D48" s="69"/>
      <c r="E48" s="69"/>
      <c r="F48" s="18" t="s">
        <v>256</v>
      </c>
      <c r="G48" s="46" t="s">
        <v>7</v>
      </c>
      <c r="H48" s="19"/>
      <c r="I48" s="19"/>
      <c r="J48" s="151">
        <f>J28+J30+J34+J36+J40+J42++J44+J45+J47+J38</f>
        <v>0</v>
      </c>
      <c r="K48" s="151">
        <f t="shared" ref="K48:M48" si="6">K28+K30+K34+K36+K40+K42++K44+K45+K47+K38</f>
        <v>0</v>
      </c>
      <c r="L48" s="151">
        <f t="shared" si="6"/>
        <v>0</v>
      </c>
      <c r="M48" s="152">
        <f t="shared" si="6"/>
        <v>0</v>
      </c>
      <c r="N48" s="598"/>
      <c r="O48" s="103"/>
      <c r="P48" s="103"/>
      <c r="Q48" s="103"/>
      <c r="R48" s="103"/>
      <c r="S48" s="330"/>
      <c r="T48" s="60"/>
      <c r="U48" s="60"/>
      <c r="V48" s="60"/>
      <c r="W48" s="66" t="s">
        <v>12</v>
      </c>
      <c r="X48" s="69">
        <v>0.02</v>
      </c>
      <c r="Y48" s="69">
        <v>400</v>
      </c>
      <c r="Z48" s="73">
        <f>$Y44*Y48</f>
        <v>0</v>
      </c>
      <c r="AA48" s="73"/>
      <c r="AB48" s="73" t="b">
        <f>IF(AND(D34&gt;3%,D34&lt;7%),TRUE,FALSE)</f>
        <v>0</v>
      </c>
      <c r="AC48" s="73" t="b">
        <f>IF(AB48=TRUE,4%)</f>
        <v>0</v>
      </c>
      <c r="AD48" s="61" t="s">
        <v>12</v>
      </c>
      <c r="AE48" s="61" t="s">
        <v>12</v>
      </c>
      <c r="AF48" s="60"/>
      <c r="AG48" s="60"/>
      <c r="AH48" s="60"/>
      <c r="AI48" s="60"/>
      <c r="AJ48" s="60"/>
      <c r="AK48" s="61" t="s">
        <v>12</v>
      </c>
      <c r="AL48" s="60"/>
      <c r="AM48" s="60"/>
      <c r="AN48" s="60"/>
    </row>
    <row r="49" spans="1:40" s="63" customFormat="1" ht="18" customHeight="1" x14ac:dyDescent="0.25">
      <c r="A49" s="234"/>
      <c r="B49" s="125"/>
      <c r="C49" s="50"/>
      <c r="D49" s="69"/>
      <c r="E49" s="69"/>
      <c r="F49" s="64"/>
      <c r="G49" s="64"/>
      <c r="H49" s="64"/>
      <c r="I49" s="64"/>
      <c r="J49" s="159"/>
      <c r="K49" s="159"/>
      <c r="L49" s="159"/>
      <c r="M49" s="159"/>
      <c r="N49" s="127"/>
      <c r="O49" s="114"/>
      <c r="P49" s="114"/>
      <c r="Q49" s="114"/>
      <c r="R49" s="114"/>
      <c r="S49" s="331"/>
      <c r="T49" s="73"/>
      <c r="U49" s="73"/>
      <c r="V49" s="73"/>
      <c r="W49" s="70"/>
      <c r="X49" s="69"/>
      <c r="Y49" s="69"/>
      <c r="Z49" s="73"/>
      <c r="AA49" s="73"/>
      <c r="AB49" s="73"/>
      <c r="AC49" s="73"/>
      <c r="AD49" s="78"/>
      <c r="AE49" s="78"/>
      <c r="AF49" s="73"/>
      <c r="AG49" s="73"/>
      <c r="AH49" s="73"/>
      <c r="AI49" s="73"/>
      <c r="AJ49" s="73"/>
      <c r="AK49" s="78"/>
      <c r="AL49" s="73"/>
      <c r="AM49" s="73"/>
      <c r="AN49" s="73"/>
    </row>
    <row r="50" spans="1:40" s="63" customFormat="1" ht="18" customHeight="1" thickBot="1" x14ac:dyDescent="0.3">
      <c r="A50" s="234"/>
      <c r="B50" s="125"/>
      <c r="D50" s="69"/>
      <c r="E50" s="69"/>
      <c r="F50" s="64" t="s">
        <v>134</v>
      </c>
      <c r="G50" s="64"/>
      <c r="H50" s="64"/>
      <c r="I50" s="64"/>
      <c r="J50" s="159"/>
      <c r="K50" s="159"/>
      <c r="L50" s="159"/>
      <c r="M50" s="159"/>
      <c r="N50" s="127"/>
      <c r="O50" s="114"/>
      <c r="P50" s="114"/>
      <c r="Q50" s="114"/>
      <c r="R50" s="114"/>
      <c r="S50" s="331"/>
      <c r="T50" s="73"/>
      <c r="U50" s="73"/>
      <c r="V50" s="73"/>
      <c r="W50" s="70"/>
      <c r="X50" s="69"/>
      <c r="Y50" s="69"/>
      <c r="Z50" s="73"/>
      <c r="AA50" s="73"/>
      <c r="AB50" s="73"/>
      <c r="AC50" s="73"/>
      <c r="AD50" s="78"/>
      <c r="AE50" s="78"/>
      <c r="AF50" s="73"/>
      <c r="AG50" s="73"/>
      <c r="AH50" s="73"/>
      <c r="AI50" s="73"/>
      <c r="AJ50" s="73"/>
      <c r="AK50" s="78"/>
      <c r="AL50" s="73"/>
      <c r="AM50" s="73"/>
      <c r="AN50" s="73"/>
    </row>
    <row r="51" spans="1:40" ht="15.75" thickBot="1" x14ac:dyDescent="0.3">
      <c r="A51" s="103"/>
      <c r="B51" s="125"/>
      <c r="C51" s="50"/>
      <c r="D51" s="63"/>
      <c r="E51" s="69"/>
      <c r="F51" s="178" t="s">
        <v>136</v>
      </c>
      <c r="G51" s="179" t="s">
        <v>6</v>
      </c>
      <c r="H51" s="179"/>
      <c r="I51" s="179"/>
      <c r="J51" s="179">
        <v>140</v>
      </c>
      <c r="K51" s="179">
        <v>140</v>
      </c>
      <c r="L51" s="179">
        <v>140</v>
      </c>
      <c r="M51" s="497">
        <v>140</v>
      </c>
      <c r="N51" s="599"/>
      <c r="O51" s="103"/>
      <c r="P51" s="103"/>
      <c r="Q51" s="103"/>
      <c r="R51" s="103"/>
      <c r="S51" s="330"/>
      <c r="T51" s="60"/>
      <c r="U51" s="60"/>
      <c r="V51" s="60"/>
      <c r="W51" s="66" t="s">
        <v>12</v>
      </c>
      <c r="X51" s="69">
        <v>0.03</v>
      </c>
      <c r="Y51" s="69">
        <v>400</v>
      </c>
      <c r="Z51" s="73">
        <f>$Y44*Y51</f>
        <v>0</v>
      </c>
      <c r="AA51" s="73"/>
      <c r="AB51" s="73" t="b">
        <f>IF(AND(D34&gt;4%,D34&lt;7%),TRUE,FALSE)</f>
        <v>0</v>
      </c>
      <c r="AC51" s="73" t="b">
        <f>IF(AB51=TRUE,5%)</f>
        <v>0</v>
      </c>
      <c r="AD51" s="61" t="s">
        <v>12</v>
      </c>
      <c r="AE51" s="61" t="s">
        <v>12</v>
      </c>
      <c r="AF51" s="60"/>
      <c r="AG51" s="60"/>
      <c r="AH51" s="60"/>
      <c r="AI51" s="60"/>
      <c r="AJ51" s="60"/>
      <c r="AK51" s="61" t="s">
        <v>12</v>
      </c>
      <c r="AL51" s="60"/>
      <c r="AM51" s="60"/>
      <c r="AN51" s="60"/>
    </row>
    <row r="52" spans="1:40" ht="15.75" thickBot="1" x14ac:dyDescent="0.3">
      <c r="A52" s="257"/>
      <c r="B52" s="243">
        <f>ROUNDDOWN(MAX(0,(Betriebsdaten!E11-Betriebsdaten!E18)-D52-D54-D56-D58-D60-IF(D69+D71+D73+D75+D77&gt;Betriebsdaten!E18,D69+D71+D73+D75+D77-Betriebsdaten!E18)),4)</f>
        <v>0</v>
      </c>
      <c r="C52" s="217" t="s">
        <v>89</v>
      </c>
      <c r="D52" s="213"/>
      <c r="E52" s="218" t="str">
        <f>IF(D52&gt;0,T52,"-")</f>
        <v>-</v>
      </c>
      <c r="F52" s="172" t="s">
        <v>87</v>
      </c>
      <c r="G52" s="45" t="s">
        <v>7</v>
      </c>
      <c r="H52" s="10"/>
      <c r="I52" s="10"/>
      <c r="J52" s="160">
        <f>IF($E52=TRUE,IF($D69+$D71+$D73+$D75+$D77+$D52+$D54+$D56+$D58+$D60&gt;Betriebsdaten!$E11-Rechner!$B34,($D52+(Betriebsdaten!$E11-Rechner!$B34-$D52-$D54-$D56-$D58-$D60-$D69-$D71-$D73-$D75-$D77))*J51,$D52*J51),)</f>
        <v>0</v>
      </c>
      <c r="K52" s="160">
        <f>IF($E52=TRUE,IF($D69+$D71+$D73+$D75+$D77+$D52+$D54+$D56+$D58+$D60&gt;Betriebsdaten!$E11-Rechner!$B34,($D52+(Betriebsdaten!$E11-Rechner!$B34-$D52-$D54-$D56-$D58-$D60-$D69-$D71-$D73-$D75-$D77))*K51,$D52*K51),)</f>
        <v>0</v>
      </c>
      <c r="L52" s="160">
        <f>IF($E52=TRUE,IF($D69+$D71+$D73+$D75+$D77+$D52+$D54+$D56+$D58+$D60&gt;Betriebsdaten!$E11-Rechner!$B34,($D52+(Betriebsdaten!$E11-Rechner!$B34-$D52-$D54-$D56-$D58-$D60-$D69-$D71-$D73-$D75-$D77))*L51,$D52*L51),)</f>
        <v>0</v>
      </c>
      <c r="M52" s="149">
        <f>IF($E52=TRUE,IF($D69+$D71+$D73+$D75+$D77+$D52+$D54+$D56+$D58+$D60&gt;Betriebsdaten!$E11-Rechner!$B34,($D52+(Betriebsdaten!$E11-Rechner!$B34-$D52-$D54-$D56-$D58-$D60-$D69-$D71-$D73-$D75-$D77))*M51,$D52*M51),)</f>
        <v>0</v>
      </c>
      <c r="N52" s="599"/>
      <c r="O52" s="103"/>
      <c r="P52" s="103"/>
      <c r="Q52" s="103"/>
      <c r="R52" s="103"/>
      <c r="S52" s="332"/>
      <c r="T52" s="82" t="b">
        <f>IF(AND(D52&lt;=((Betriebsdaten!E11-Betriebsdaten!E18)-IF(D69+D71+D73+D75+D77&gt;Betriebsdaten!E18,D69+D71+D73+D75+D77-Betriebsdaten!E18)-D54-D56-D58-D60),B52&gt;=0),TRUE,FALSE)</f>
        <v>1</v>
      </c>
      <c r="U52" s="60"/>
      <c r="V52" s="60"/>
      <c r="W52" s="66" t="s">
        <v>12</v>
      </c>
      <c r="X52" s="69">
        <v>0.04</v>
      </c>
      <c r="Y52" s="69">
        <v>200</v>
      </c>
      <c r="Z52" s="73">
        <f>$Y44*Y52</f>
        <v>0</v>
      </c>
      <c r="AA52" s="73"/>
      <c r="AB52" s="73" t="b">
        <f>IF(AND(D34&gt;5%,D34&lt;7%),TRUE,FALSE)</f>
        <v>0</v>
      </c>
      <c r="AC52" s="73" t="b">
        <f>IF(AB52=TRUE,6%)</f>
        <v>0</v>
      </c>
      <c r="AD52" s="61" t="s">
        <v>12</v>
      </c>
      <c r="AE52" s="61" t="s">
        <v>27</v>
      </c>
      <c r="AF52" s="61" t="s">
        <v>10</v>
      </c>
      <c r="AG52" s="61" t="s">
        <v>10</v>
      </c>
      <c r="AH52" s="61" t="s">
        <v>10</v>
      </c>
      <c r="AI52" s="61" t="s">
        <v>10</v>
      </c>
      <c r="AJ52" s="61" t="s">
        <v>10</v>
      </c>
      <c r="AK52" s="61" t="s">
        <v>28</v>
      </c>
      <c r="AL52" s="60"/>
      <c r="AM52" s="60"/>
      <c r="AN52" s="60"/>
    </row>
    <row r="53" spans="1:40" ht="15.75" thickBot="1" x14ac:dyDescent="0.3">
      <c r="A53" s="103"/>
      <c r="B53" s="249"/>
      <c r="C53" s="63"/>
      <c r="D53" s="50"/>
      <c r="E53" s="50"/>
      <c r="F53" s="180" t="s">
        <v>32</v>
      </c>
      <c r="G53" s="34" t="s">
        <v>6</v>
      </c>
      <c r="H53" s="20"/>
      <c r="I53" s="20"/>
      <c r="J53" s="20">
        <v>220</v>
      </c>
      <c r="K53" s="20">
        <v>220</v>
      </c>
      <c r="L53" s="21">
        <v>220</v>
      </c>
      <c r="M53" s="21">
        <v>220</v>
      </c>
      <c r="N53" s="599"/>
      <c r="O53" s="103"/>
      <c r="P53" s="103"/>
      <c r="Q53" s="103"/>
      <c r="R53" s="103"/>
      <c r="S53" s="333"/>
      <c r="T53" s="52"/>
      <c r="U53" s="60"/>
      <c r="V53" s="60"/>
      <c r="W53" s="66" t="s">
        <v>12</v>
      </c>
      <c r="X53" s="69">
        <v>0.05</v>
      </c>
      <c r="Y53" s="69">
        <v>200</v>
      </c>
      <c r="Z53" s="73">
        <f>$Y44*Y53</f>
        <v>0</v>
      </c>
      <c r="AA53" s="73"/>
      <c r="AB53" s="73"/>
      <c r="AC53" s="73"/>
      <c r="AD53" s="61" t="s">
        <v>12</v>
      </c>
      <c r="AE53" s="61" t="s">
        <v>12</v>
      </c>
      <c r="AF53" s="60"/>
      <c r="AG53" s="61" t="s">
        <v>12</v>
      </c>
      <c r="AJ53" s="60"/>
      <c r="AK53" s="60"/>
      <c r="AL53" s="60"/>
      <c r="AM53" s="60"/>
      <c r="AN53" s="60"/>
    </row>
    <row r="54" spans="1:40" ht="15.75" thickBot="1" x14ac:dyDescent="0.3">
      <c r="A54" s="103"/>
      <c r="B54" s="412">
        <f>ROUNDDOWN(MAX(0,(Betriebsdaten!E11-Betriebsdaten!E18)-D52-D54-D56-D58-D60-IF(D69+D71+D73+D75+D77&gt;Betriebsdaten!E18,D69+D71+D73+D75+D77-Betriebsdaten!E18)),4)</f>
        <v>0</v>
      </c>
      <c r="C54" s="217" t="s">
        <v>89</v>
      </c>
      <c r="D54" s="213"/>
      <c r="E54" s="218" t="str">
        <f>IF(D54&gt;0,T54,"-")</f>
        <v>-</v>
      </c>
      <c r="F54" s="166" t="s">
        <v>63</v>
      </c>
      <c r="G54" s="32" t="s">
        <v>7</v>
      </c>
      <c r="H54" s="1"/>
      <c r="I54" s="1"/>
      <c r="J54" s="142">
        <f>IF($E54=TRUE,IF($D69+$D71+$D73+$D75+$D77+$D52+$D54+$D56+$D58+$D60&gt;Betriebsdaten!$E11-Rechner!$B34,($D54+(Betriebsdaten!$E11-Rechner!$B34-$D52-$D54-$D56-$D58-$D60-$D69-$D71-$D73-$D75-$D77))*J53,$D54*J53),)</f>
        <v>0</v>
      </c>
      <c r="K54" s="142">
        <f>IF($E54=TRUE,IF($D69+$D71+$D73+$D75+$D77+$D52+$D54+$D56+$D58+$D60&gt;Betriebsdaten!$E11-Rechner!$B34,($D54+(Betriebsdaten!$E11-Rechner!$B34-$D52-$D54-$D56-$D58-$D60-$D69-$D71-$D73-$D75-$D77))*K53,$D54*K53),)</f>
        <v>0</v>
      </c>
      <c r="L54" s="142">
        <f>IF($E54=TRUE,IF($D69+$D71+$D73+$D75+$D77+$D52+$D54+$D56+$D58+$D60&gt;Betriebsdaten!$E11-Rechner!$B34,($D54+(Betriebsdaten!$E11-Rechner!$B34-$D52-$D54-$D56-$D58-$D60-$D69-$D71-$D73-$D75-$D77))*L53,$D54*L53),)</f>
        <v>0</v>
      </c>
      <c r="M54" s="149">
        <f>IF($E54=TRUE,IF($D69+$D71+$D73+$D75+$D77+$D52+$D54+$D56+$D58+$D60&gt;Betriebsdaten!$E11-Rechner!$B34,($D54+(Betriebsdaten!$E11-Rechner!$B34-$D52-$D54-$D56-$D58-$D60-$D69-$D71-$D73-$D75-$D77))*M53,$D54*M53),)</f>
        <v>0</v>
      </c>
      <c r="N54" s="599"/>
      <c r="O54" s="103"/>
      <c r="P54" s="103"/>
      <c r="Q54" s="103"/>
      <c r="R54" s="103"/>
      <c r="S54" s="332"/>
      <c r="T54" s="82" t="b">
        <f>IF(AND(D54&lt;=((Betriebsdaten!E11-Betriebsdaten!E18)-IF(D69+D71+D73+D75+D77&gt;Betriebsdaten!E18,D69+D71+D73+D75+D77-Betriebsdaten!E18)-D52-D56-D58-D60),B54&gt;=0),TRUE,FALSE)</f>
        <v>1</v>
      </c>
      <c r="U54" s="60"/>
      <c r="V54" s="60"/>
      <c r="W54" s="66" t="s">
        <v>12</v>
      </c>
      <c r="X54" s="69">
        <v>0.06</v>
      </c>
      <c r="Y54" s="69">
        <v>200</v>
      </c>
      <c r="Z54" s="73">
        <f>$Y44*Y54</f>
        <v>0</v>
      </c>
      <c r="AA54" s="73"/>
      <c r="AB54" s="73" t="s">
        <v>25</v>
      </c>
      <c r="AC54" s="73"/>
      <c r="AD54" s="61" t="s">
        <v>12</v>
      </c>
      <c r="AE54" s="61" t="s">
        <v>12</v>
      </c>
      <c r="AF54" s="60" t="s">
        <v>122</v>
      </c>
      <c r="AG54" s="61" t="s">
        <v>12</v>
      </c>
      <c r="AH54" s="60"/>
      <c r="AJ54" s="60"/>
      <c r="AK54" s="60"/>
      <c r="AL54" s="60"/>
      <c r="AM54" s="60"/>
      <c r="AN54" s="60"/>
    </row>
    <row r="55" spans="1:40" ht="15.75" thickBot="1" x14ac:dyDescent="0.3">
      <c r="A55" s="103"/>
      <c r="B55" s="249"/>
      <c r="C55" s="122"/>
      <c r="D55" s="50"/>
      <c r="E55" s="50"/>
      <c r="F55" s="180" t="s">
        <v>33</v>
      </c>
      <c r="G55" s="34" t="s">
        <v>6</v>
      </c>
      <c r="H55" s="20"/>
      <c r="I55" s="20"/>
      <c r="J55" s="20">
        <v>145</v>
      </c>
      <c r="K55" s="20">
        <v>145</v>
      </c>
      <c r="L55" s="21">
        <v>145</v>
      </c>
      <c r="M55" s="21">
        <v>145</v>
      </c>
      <c r="N55" s="599"/>
      <c r="O55" s="103"/>
      <c r="P55" s="103"/>
      <c r="Q55" s="103"/>
      <c r="R55" s="103"/>
      <c r="S55" s="330"/>
      <c r="T55" s="52"/>
      <c r="U55" s="60"/>
      <c r="V55" s="60"/>
      <c r="W55" s="66" t="s">
        <v>12</v>
      </c>
      <c r="X55" s="69"/>
      <c r="Y55" s="69"/>
      <c r="Z55" s="73"/>
      <c r="AA55" s="73"/>
      <c r="AB55" s="73">
        <f>SUMIFS(Z47:Z54,X47:X54,AC45)+SUMIFS(Z47:Z54,X47:X54,AC46)+SUMIFS(Z47:Z54,X47:X54,AC47)+SUMIFS(Z47:Z54,X47:X54,AC48)+SUMIFS(Z47:Z54,X47:X54,AC51)+SUMIFS(Z47:Z54,X47:X54,AC52)</f>
        <v>0</v>
      </c>
      <c r="AC55" s="73"/>
      <c r="AD55" s="61" t="s">
        <v>12</v>
      </c>
      <c r="AE55" s="61" t="s">
        <v>12</v>
      </c>
      <c r="AF55" s="60">
        <f>Betriebsdaten!E17-Rechner!D47</f>
        <v>0</v>
      </c>
      <c r="AG55" s="61" t="s">
        <v>12</v>
      </c>
      <c r="AJ55" s="60"/>
      <c r="AK55" s="60"/>
      <c r="AL55" s="60"/>
      <c r="AM55" s="60"/>
      <c r="AN55" s="60"/>
    </row>
    <row r="56" spans="1:40" ht="15.75" thickBot="1" x14ac:dyDescent="0.3">
      <c r="A56" s="103"/>
      <c r="B56" s="243">
        <f>ROUNDDOWN(MAX(0,IF(OR(Betriebsdaten!J11&gt;0,Betriebsdaten!M11="ja"),(Betriebsdaten!E11-Betriebsdaten!E18)-D52-D54-D60-D56-D58-IF(D69+D71+D73+D75+D77&gt;Betriebsdaten!E18,D69+D71+D73+D75+D77-Betriebsdaten!E18),)),4)</f>
        <v>0</v>
      </c>
      <c r="C56" s="217" t="s">
        <v>89</v>
      </c>
      <c r="D56" s="213"/>
      <c r="E56" s="218" t="str">
        <f>IF(D56&gt;0,T56,"-")</f>
        <v>-</v>
      </c>
      <c r="F56" s="166" t="s">
        <v>64</v>
      </c>
      <c r="G56" s="32" t="s">
        <v>7</v>
      </c>
      <c r="H56" s="1"/>
      <c r="I56" s="1"/>
      <c r="J56" s="142">
        <f>IF($E56=TRUE,IF($D69+$D71+$D73+$D75+$D77+$D52+$D54+$D56+$D58+$D60&gt;Betriebsdaten!$E11-Rechner!$B34,($D56+(Betriebsdaten!$E11-Rechner!$B34-$D52-$D54-$D56-$D58-$D60-$D69-$D71-$D73-$D75-$D77))*J55,$D56*J55),)</f>
        <v>0</v>
      </c>
      <c r="K56" s="142">
        <f>IF($E56=TRUE,IF($D69+$D71+$D73+$D75+$D77+$D52+$D54+$D56+$D58+$D60&gt;Betriebsdaten!$E11-Rechner!$B34,($D56+(Betriebsdaten!$E11-Rechner!$B34-$D52-$D54-$D56-$D58-$D60-$D69-$D71-$D73-$D75-$D77))*K55,$D56*K55),)</f>
        <v>0</v>
      </c>
      <c r="L56" s="142">
        <f>IF($E56=TRUE,IF($D69+$D71+$D73+$D75+$D77+$D52+$D54+$D56+$D58+$D60&gt;Betriebsdaten!$E11-Rechner!$B34,($D56+(Betriebsdaten!$E11-Rechner!$B34-$D52-$D54-$D56-$D58-$D60-$D69-$D71-$D73-$D75-$D77))*L55,$D56*L55),)</f>
        <v>0</v>
      </c>
      <c r="M56" s="149">
        <f>IF($E56=TRUE,IF($D69+$D71+$D73+$D75+$D77+$D52+$D54+$D56+$D58+$D60&gt;Betriebsdaten!$E11-Rechner!$B34,($D56+(Betriebsdaten!$E11-Rechner!$B34-$D52-$D54-$D56-$D58-$D60-$D69-$D71-$D73-$D75-$D77))*M55,$D56*M55),)</f>
        <v>0</v>
      </c>
      <c r="N56" s="599"/>
      <c r="O56" s="103"/>
      <c r="P56" s="103"/>
      <c r="Q56" s="103"/>
      <c r="R56" s="103"/>
      <c r="S56" s="330"/>
      <c r="T56" s="82">
        <f>IF(AND(D56&lt;=((Betriebsdaten!E11-Betriebsdaten!E18)-D52-D54-D58-D60-IF(D69+D71+D73+D75+D77&gt;Betriebsdaten!E18,D69+D71+D73+D75+D77-Betriebsdaten!E18)),OR(Betriebsdaten!J11&gt;0,Betriebsdaten!M11="ja"),B56&gt;=0),TRUE,)</f>
        <v>0</v>
      </c>
      <c r="U56" s="60"/>
      <c r="V56" s="60"/>
      <c r="W56" s="66" t="s">
        <v>27</v>
      </c>
      <c r="X56" s="66" t="s">
        <v>10</v>
      </c>
      <c r="Y56" s="66" t="s">
        <v>10</v>
      </c>
      <c r="Z56" s="61" t="s">
        <v>10</v>
      </c>
      <c r="AA56" s="61" t="s">
        <v>10</v>
      </c>
      <c r="AB56" s="61" t="s">
        <v>10</v>
      </c>
      <c r="AC56" s="61" t="s">
        <v>10</v>
      </c>
      <c r="AD56" s="71" t="s">
        <v>28</v>
      </c>
      <c r="AE56" s="61" t="s">
        <v>27</v>
      </c>
      <c r="AF56" s="61" t="s">
        <v>10</v>
      </c>
      <c r="AG56" s="61" t="s">
        <v>28</v>
      </c>
      <c r="AH56" s="61"/>
      <c r="AJ56" s="60"/>
      <c r="AK56" s="60"/>
      <c r="AL56" s="60"/>
      <c r="AM56" s="60"/>
      <c r="AN56" s="60"/>
    </row>
    <row r="57" spans="1:40" ht="15.75" thickBot="1" x14ac:dyDescent="0.3">
      <c r="A57" s="103"/>
      <c r="B57" s="249"/>
      <c r="C57" s="63"/>
      <c r="D57" s="50"/>
      <c r="E57" s="50"/>
      <c r="F57" s="180" t="s">
        <v>34</v>
      </c>
      <c r="G57" s="34" t="s">
        <v>6</v>
      </c>
      <c r="H57" s="20"/>
      <c r="I57" s="20"/>
      <c r="J57" s="20">
        <v>235</v>
      </c>
      <c r="K57" s="20">
        <v>235</v>
      </c>
      <c r="L57" s="21">
        <v>235</v>
      </c>
      <c r="M57" s="21">
        <v>235</v>
      </c>
      <c r="N57" s="599"/>
      <c r="O57" s="103"/>
      <c r="P57" s="103"/>
      <c r="Q57" s="103"/>
      <c r="R57" s="329"/>
      <c r="S57" s="329"/>
      <c r="T57" s="52"/>
      <c r="U57" s="60"/>
      <c r="V57" s="60"/>
      <c r="W57" s="60"/>
      <c r="X57" s="60"/>
      <c r="Y57" s="61" t="s">
        <v>12</v>
      </c>
      <c r="Z57" s="60"/>
      <c r="AA57" s="60"/>
      <c r="AB57" s="61" t="s">
        <v>12</v>
      </c>
      <c r="AD57" s="60"/>
      <c r="AE57" s="60"/>
      <c r="AF57" s="60"/>
      <c r="AG57" s="60"/>
      <c r="AH57" s="60"/>
      <c r="AI57" s="60"/>
      <c r="AJ57" s="60"/>
      <c r="AK57" s="60"/>
      <c r="AL57" s="60"/>
      <c r="AM57" s="60"/>
      <c r="AN57" s="60"/>
    </row>
    <row r="58" spans="1:40" ht="15.75" thickBot="1" x14ac:dyDescent="0.3">
      <c r="A58" s="103"/>
      <c r="B58" s="413">
        <f>ROUNDDOWN(MAX(0,IF(OR(Betriebsdaten!J11&gt;0,Betriebsdaten!M11="ja"),U58,0)),4)</f>
        <v>0</v>
      </c>
      <c r="C58" s="217" t="s">
        <v>89</v>
      </c>
      <c r="D58" s="213"/>
      <c r="E58" s="218" t="str">
        <f>IF(D58&gt;0,T58,"-")</f>
        <v>-</v>
      </c>
      <c r="F58" s="166" t="s">
        <v>65</v>
      </c>
      <c r="G58" s="32" t="s">
        <v>7</v>
      </c>
      <c r="H58" s="1"/>
      <c r="I58" s="1"/>
      <c r="J58" s="142">
        <f>IF($E58=TRUE,IF($D69+$D71+$D73+$D75+$D77+$D52+$D54+$D56+$D58+$D60&gt;Betriebsdaten!$E11-Rechner!$B34,($D58+(Betriebsdaten!$E11-Rechner!$B34-$D52-$D54-$D56-$D58-$D60-$D69-$D71-$D73-$D75-$D77))*J57,$D58*J57),)</f>
        <v>0</v>
      </c>
      <c r="K58" s="142">
        <f>IF($E58=TRUE,IF($D69+$D71+$D73+$D75+$D77+$D52+$D54+$D56+$D58+$D60&gt;Betriebsdaten!$E11-Rechner!$B34,($D58+(Betriebsdaten!$E11-Rechner!$B34-$D52-$D54-$D56-$D58-$D60-$D69-$D71-$D73-$D75-$D77))*K57,$D58*K57),)</f>
        <v>0</v>
      </c>
      <c r="L58" s="142">
        <f>IF($E58=TRUE,IF($D69+$D71+$D73+$D75+$D77+$D52+$D54+$D56+$D58+$D60&gt;Betriebsdaten!$E11-Rechner!$B34,($D58+(Betriebsdaten!$E11-Rechner!$B34-$D52-$D54-$D56-$D58-$D60-$D69-$D71-$D73-$D75-$D77))*L57,$D58*L57),)</f>
        <v>0</v>
      </c>
      <c r="M58" s="149">
        <f>IF($E58=TRUE,IF($D69+$D71+$D73+$D75+$D77+$D52+$D54+$D56+$D58+$D60&gt;Betriebsdaten!$E11-Rechner!$B34,($D58+(Betriebsdaten!$E11-Rechner!$B34-$D52-$D54-$D56-$D58-$D60-$D69-$D71-$D73-$D75-$D77))*M57,$D58*M57),)</f>
        <v>0</v>
      </c>
      <c r="N58" s="599"/>
      <c r="O58" s="103"/>
      <c r="P58" s="103"/>
      <c r="Q58" s="103"/>
      <c r="R58" s="329"/>
      <c r="S58" s="329"/>
      <c r="T58" s="82" t="b">
        <f>IF(AND(D58&lt;=((Betriebsdaten!E11-Betriebsdaten!E18)-IF(D69+D71+D73+D75+D77&gt;Betriebsdaten!E18,D69+D71+D73+D75+D77-Betriebsdaten!E18)-D52-D56-D54-D60),OR(Betriebsdaten!J11&gt;0,Betriebsdaten!M11="ja"),B58&gt;=0),TRUE,FALSE)</f>
        <v>0</v>
      </c>
      <c r="U58" s="83">
        <f>MAX(0,(Betriebsdaten!E11-Betriebsdaten!E18)-D52-D54-D56-D58-D60-IF(D69+D71+D73+D75+D77&gt;Betriebsdaten!E18,D69+D71+D73+D75+D77-Betriebsdaten!E18))</f>
        <v>0</v>
      </c>
      <c r="V58" s="60"/>
      <c r="W58" s="60"/>
      <c r="X58" s="60"/>
      <c r="Y58" s="61" t="s">
        <v>12</v>
      </c>
      <c r="Z58" s="60" t="s">
        <v>95</v>
      </c>
      <c r="AA58" s="60" t="s">
        <v>96</v>
      </c>
      <c r="AB58" s="61" t="s">
        <v>12</v>
      </c>
      <c r="AD58" s="60"/>
      <c r="AE58" s="60"/>
      <c r="AG58" s="60"/>
      <c r="AH58" s="60"/>
      <c r="AI58" s="60"/>
      <c r="AJ58" s="60"/>
      <c r="AK58" s="60"/>
      <c r="AL58" s="60"/>
      <c r="AM58" s="60"/>
      <c r="AN58" s="60"/>
    </row>
    <row r="59" spans="1:40" ht="15.75" thickBot="1" x14ac:dyDescent="0.3">
      <c r="A59" s="103"/>
      <c r="B59" s="244"/>
      <c r="C59" s="63"/>
      <c r="D59" s="50"/>
      <c r="E59" s="50"/>
      <c r="F59" s="180" t="s">
        <v>35</v>
      </c>
      <c r="G59" s="34" t="s">
        <v>6</v>
      </c>
      <c r="H59" s="20"/>
      <c r="I59" s="20"/>
      <c r="J59" s="20">
        <v>325</v>
      </c>
      <c r="K59" s="20">
        <v>325</v>
      </c>
      <c r="L59" s="21">
        <v>325</v>
      </c>
      <c r="M59" s="21">
        <v>325</v>
      </c>
      <c r="N59" s="599"/>
      <c r="O59" s="103"/>
      <c r="P59" s="103"/>
      <c r="Q59" s="103"/>
      <c r="R59" s="329"/>
      <c r="S59" s="329"/>
      <c r="T59" s="52"/>
      <c r="V59" s="60"/>
      <c r="W59" s="60"/>
      <c r="Y59" s="61" t="s">
        <v>12</v>
      </c>
      <c r="Z59" s="53">
        <f>MIN(0,(D52+D54+D56+D58+D60+D65)-B34)</f>
        <v>0</v>
      </c>
      <c r="AA59" s="52">
        <f>MIN(0,(Betriebsdaten!E11-Betriebsdaten!E14)-D52-D54-D58-D60-IF(B34&gt;D52+D54+D56+D58+D60,-Z59,0)-D56)</f>
        <v>0</v>
      </c>
      <c r="AB59" s="61" t="s">
        <v>12</v>
      </c>
      <c r="AD59" s="60"/>
      <c r="AE59" s="60"/>
      <c r="AF59" s="60"/>
      <c r="AG59" s="60"/>
      <c r="AH59" s="60"/>
      <c r="AI59" s="60"/>
      <c r="AJ59" s="60"/>
      <c r="AK59" s="60"/>
      <c r="AL59" s="60"/>
      <c r="AM59" s="60"/>
      <c r="AN59" s="60"/>
    </row>
    <row r="60" spans="1:40" ht="15.75" thickBot="1" x14ac:dyDescent="0.3">
      <c r="A60" s="103"/>
      <c r="B60" s="413">
        <f>ROUNDDOWN(MAX(0,IF(OR(Betriebsdaten!J11&gt;0,Betriebsdaten!M11="ja"),U60,)),4)</f>
        <v>0</v>
      </c>
      <c r="C60" s="217" t="s">
        <v>89</v>
      </c>
      <c r="D60" s="213"/>
      <c r="E60" s="218" t="str">
        <f>IF(D60&gt;0,T60,"-")</f>
        <v>-</v>
      </c>
      <c r="F60" s="166" t="s">
        <v>66</v>
      </c>
      <c r="G60" s="33" t="s">
        <v>7</v>
      </c>
      <c r="H60" s="5"/>
      <c r="I60" s="5"/>
      <c r="J60" s="143">
        <f>IF($E60=TRUE,IF($D69+$D71+$D73+$D75+$D77+$D52+$D54+$D56+$D58+$D60&gt;Betriebsdaten!$E11-Rechner!$B34,($D60+(Betriebsdaten!$E11-Rechner!$B34-$D52-$D54-$D56-$D58-$D60-$D69-$D71-$D73-$D75-$D77))*J59,$D60*J59),)</f>
        <v>0</v>
      </c>
      <c r="K60" s="143">
        <f>IF($E60=TRUE,IF($D69+$D71+$D73+$D75+$D77+$D52+$D54+$D56+$D58+$D60&gt;Betriebsdaten!$E11-Rechner!$B34,($D60+(Betriebsdaten!$E11-Rechner!$B34-$D52-$D54-$D56-$D58-$D60-$D69-$D71-$D73-$D75-$D77))*K59,$D60*K59),)</f>
        <v>0</v>
      </c>
      <c r="L60" s="143">
        <f>IF($E60=TRUE,IF($D69+$D71+$D73+$D75+$D77+$D52+$D54+$D56+$D58+$D60&gt;Betriebsdaten!$E11-Rechner!$B34,($D60+(Betriebsdaten!$E11-Rechner!$B34-$D52-$D54-$D56-$D58-$D60-$D69-$D71-$D73-$D75-$D77))*L59,$D60*L59),)</f>
        <v>0</v>
      </c>
      <c r="M60" s="498">
        <f>IF($E60=TRUE,IF($D69+$D71+$D73+$D75+$D77+$D52+$D54+$D56+$D58+$D60&gt;Betriebsdaten!$E11-Rechner!$B34,($D60+(Betriebsdaten!$E11-Rechner!$B34-$D52-$D54-$D56-$D58-$D60-$D69-$D71-$D73-$D75-$D77))*M59,$D60*M59),)</f>
        <v>0</v>
      </c>
      <c r="N60" s="599"/>
      <c r="O60" s="103"/>
      <c r="P60" s="103"/>
      <c r="Q60" s="103"/>
      <c r="R60" s="329"/>
      <c r="S60" s="329"/>
      <c r="T60" s="82" t="b">
        <f>IF(AND(D60&lt;=((Betriebsdaten!E11-Betriebsdaten!E18)-IF(D69+D71+D73+D75+D77&gt;Betriebsdaten!E18,D69+D71+D73+D75+D77-Betriebsdaten!E18)-D52-D56-D58-D54),OR(Betriebsdaten!J11&gt;0,Betriebsdaten!M11="ja"),B60&gt;=0),TRUE,FALSE)</f>
        <v>0</v>
      </c>
      <c r="U60" s="84">
        <f>MAX(0,(Betriebsdaten!E11-Betriebsdaten!E18)-D52-D54-D56-D58-D60-IF(D69+D71+D73+D75+D77&gt;Betriebsdaten!E18,D69+D71+D73+D75+D77-Betriebsdaten!E18))</f>
        <v>0</v>
      </c>
      <c r="V60" s="60"/>
      <c r="W60" s="60"/>
      <c r="Y60" s="61" t="s">
        <v>27</v>
      </c>
      <c r="Z60" s="61" t="s">
        <v>10</v>
      </c>
      <c r="AA60" s="61" t="s">
        <v>10</v>
      </c>
      <c r="AB60" s="61" t="s">
        <v>28</v>
      </c>
      <c r="AD60" s="60"/>
      <c r="AE60" s="60"/>
      <c r="AF60" s="60"/>
      <c r="AG60" s="60"/>
      <c r="AH60" s="60"/>
      <c r="AI60" s="60"/>
      <c r="AJ60" s="60"/>
      <c r="AK60" s="60"/>
      <c r="AL60" s="60"/>
      <c r="AM60" s="60"/>
      <c r="AN60" s="60"/>
    </row>
    <row r="61" spans="1:40" ht="15.75" thickBot="1" x14ac:dyDescent="0.3">
      <c r="A61" s="103"/>
      <c r="B61" s="250"/>
      <c r="C61" s="251"/>
      <c r="D61" s="50"/>
      <c r="E61" s="246"/>
      <c r="F61" s="265" t="s">
        <v>190</v>
      </c>
      <c r="G61" s="266" t="s">
        <v>6</v>
      </c>
      <c r="H61" s="267"/>
      <c r="I61" s="267"/>
      <c r="J61" s="268">
        <v>844</v>
      </c>
      <c r="K61" s="268">
        <v>844</v>
      </c>
      <c r="L61" s="268">
        <v>844</v>
      </c>
      <c r="M61" s="499">
        <v>844</v>
      </c>
      <c r="N61" s="599"/>
      <c r="O61" s="103"/>
      <c r="P61" s="103"/>
      <c r="Q61" s="103"/>
      <c r="R61" s="329"/>
      <c r="S61" s="329"/>
      <c r="T61" s="82"/>
      <c r="U61" s="84"/>
      <c r="V61" s="60"/>
      <c r="W61" s="60"/>
      <c r="Y61" s="61"/>
      <c r="Z61" s="61"/>
      <c r="AA61" s="61"/>
      <c r="AB61" s="61"/>
      <c r="AD61" s="60"/>
      <c r="AE61" s="60"/>
      <c r="AF61" s="60"/>
      <c r="AG61" s="60"/>
      <c r="AH61" s="60"/>
      <c r="AI61" s="60"/>
      <c r="AJ61" s="60"/>
      <c r="AK61" s="60"/>
      <c r="AL61" s="60"/>
      <c r="AM61" s="60"/>
      <c r="AN61" s="60"/>
    </row>
    <row r="62" spans="1:40" ht="15.75" thickBot="1" x14ac:dyDescent="0.3">
      <c r="A62" s="257"/>
      <c r="B62" s="322"/>
      <c r="C62" s="251" t="s">
        <v>193</v>
      </c>
      <c r="D62" s="213"/>
      <c r="E62" s="324" t="str">
        <f>IF(D62&gt;0,IF(AND(Betriebsdaten!E10*(Rechner!D28+4%)+Rechner!D63+Rechner!D62&lt;=Betriebsdaten!E10,Betriebsdaten!E10&gt;0,Betriebsdaten!E10-Rechner!D83-Rechner!D82&gt;=Rechner!D62+Rechner!D63),TRUE,FALSE),"-")</f>
        <v>-</v>
      </c>
      <c r="F62" s="264" t="s">
        <v>191</v>
      </c>
      <c r="G62" s="33" t="s">
        <v>7</v>
      </c>
      <c r="H62" s="143"/>
      <c r="I62" s="143"/>
      <c r="J62" s="143">
        <f>IF(E62=TRUE,J61*$D62,0)</f>
        <v>0</v>
      </c>
      <c r="K62" s="143">
        <f>IF(E62=TRUE,K61*$D62,0)</f>
        <v>0</v>
      </c>
      <c r="L62" s="143">
        <f>IF(E62=TRUE,L61*$D62,0)</f>
        <v>0</v>
      </c>
      <c r="M62" s="498">
        <f>IF(E62=TRUE,M61*$D62,0)</f>
        <v>0</v>
      </c>
      <c r="N62" s="599"/>
      <c r="O62" s="103"/>
      <c r="P62" s="103"/>
      <c r="Q62" s="103"/>
      <c r="R62" s="329"/>
      <c r="S62" s="329"/>
      <c r="T62" s="82"/>
      <c r="U62" s="84"/>
      <c r="V62" s="60"/>
      <c r="W62" s="60"/>
      <c r="Y62" s="61"/>
      <c r="Z62" s="61"/>
      <c r="AA62" s="61"/>
      <c r="AB62" s="61"/>
      <c r="AD62" s="60"/>
      <c r="AE62" s="60"/>
      <c r="AF62" s="60"/>
      <c r="AG62" s="60"/>
      <c r="AH62" s="60"/>
      <c r="AI62" s="60"/>
      <c r="AJ62" s="60"/>
      <c r="AK62" s="60"/>
      <c r="AL62" s="60"/>
      <c r="AM62" s="60"/>
      <c r="AN62" s="60"/>
    </row>
    <row r="63" spans="1:40" ht="15.75" thickBot="1" x14ac:dyDescent="0.3">
      <c r="A63" s="257"/>
      <c r="B63" s="323"/>
      <c r="C63" s="217" t="s">
        <v>193</v>
      </c>
      <c r="D63" s="213"/>
      <c r="E63" s="207" t="str">
        <f>IF(D63&gt;0,IF(AND(Betriebsdaten!E10*(Rechner!D28+4%)+Rechner!D63+Rechner!D62&lt;=Betriebsdaten!E10,Betriebsdaten!E10&gt;0,Betriebsdaten!E10-Rechner!D83-Rechner!D82&gt;=Rechner!D62+Rechner!D63),TRUE,FALSE),"-")</f>
        <v>-</v>
      </c>
      <c r="F63" s="264" t="s">
        <v>192</v>
      </c>
      <c r="G63" s="33" t="s">
        <v>7</v>
      </c>
      <c r="H63" s="143"/>
      <c r="I63" s="143"/>
      <c r="J63" s="143">
        <f>IF($E63=TRUE,J61*$D63,0)</f>
        <v>0</v>
      </c>
      <c r="K63" s="143">
        <f>IF($E63=TRUE,K61*$D63,0)</f>
        <v>0</v>
      </c>
      <c r="L63" s="143">
        <f t="shared" ref="L63:M63" si="7">IF($E63=TRUE,L61*$D63,0)</f>
        <v>0</v>
      </c>
      <c r="M63" s="149">
        <f t="shared" si="7"/>
        <v>0</v>
      </c>
      <c r="N63" s="599"/>
      <c r="O63" s="103"/>
      <c r="P63" s="103"/>
      <c r="Q63" s="103"/>
      <c r="R63" s="329"/>
      <c r="S63" s="329"/>
      <c r="T63" s="82"/>
      <c r="U63" s="84"/>
      <c r="V63" s="60"/>
      <c r="W63" s="60"/>
      <c r="Y63" s="61"/>
      <c r="Z63" s="61"/>
      <c r="AA63" s="61"/>
      <c r="AB63" s="61"/>
      <c r="AD63" s="60"/>
      <c r="AE63" s="60"/>
      <c r="AF63" s="60"/>
      <c r="AG63" s="60"/>
      <c r="AH63" s="60"/>
      <c r="AI63" s="60"/>
      <c r="AJ63" s="60"/>
      <c r="AK63" s="60"/>
      <c r="AL63" s="60"/>
      <c r="AM63" s="60"/>
      <c r="AN63" s="60"/>
    </row>
    <row r="64" spans="1:40" ht="15.75" thickBot="1" x14ac:dyDescent="0.3">
      <c r="A64" s="103"/>
      <c r="B64" s="250"/>
      <c r="C64" s="251"/>
      <c r="D64" s="50"/>
      <c r="E64" s="246"/>
      <c r="F64" s="180" t="s">
        <v>92</v>
      </c>
      <c r="G64" s="34" t="s">
        <v>156</v>
      </c>
      <c r="H64" s="20"/>
      <c r="I64" s="20"/>
      <c r="J64" s="29">
        <v>6.5</v>
      </c>
      <c r="K64" s="29">
        <v>6.5</v>
      </c>
      <c r="L64" s="29">
        <v>6.5</v>
      </c>
      <c r="M64" s="500">
        <v>6.5</v>
      </c>
      <c r="N64" s="599"/>
      <c r="O64" s="103"/>
      <c r="P64" s="103"/>
      <c r="Q64" s="103"/>
      <c r="R64" s="329"/>
      <c r="S64" s="329"/>
      <c r="T64" s="82"/>
      <c r="U64" s="60"/>
      <c r="V64" s="60"/>
      <c r="W64" s="60"/>
      <c r="X64" s="60"/>
      <c r="Y64" s="60"/>
      <c r="Z64" s="61"/>
      <c r="AA64" s="60"/>
      <c r="AB64" s="60"/>
      <c r="AC64" s="60"/>
      <c r="AD64" s="60"/>
      <c r="AE64" s="60"/>
      <c r="AF64" s="60"/>
      <c r="AG64" s="60"/>
      <c r="AH64" s="60"/>
      <c r="AI64" s="60"/>
      <c r="AJ64" s="60"/>
      <c r="AK64" s="60"/>
      <c r="AL64" s="60"/>
      <c r="AM64" s="60"/>
      <c r="AN64" s="60"/>
    </row>
    <row r="65" spans="1:40" ht="15.75" thickBot="1" x14ac:dyDescent="0.3">
      <c r="A65" s="103"/>
      <c r="B65" s="593" t="s">
        <v>115</v>
      </c>
      <c r="C65" s="594"/>
      <c r="D65" s="213"/>
      <c r="E65" s="208" t="s">
        <v>93</v>
      </c>
      <c r="F65" s="269" t="s">
        <v>99</v>
      </c>
      <c r="G65" s="270" t="s">
        <v>7</v>
      </c>
      <c r="H65" s="38"/>
      <c r="I65" s="38"/>
      <c r="J65" s="271">
        <f>J64*$D65</f>
        <v>0</v>
      </c>
      <c r="K65" s="271">
        <f>K64*$D65</f>
        <v>0</v>
      </c>
      <c r="L65" s="271">
        <f>L64*$D65</f>
        <v>0</v>
      </c>
      <c r="M65" s="501">
        <f>M64*$D65</f>
        <v>0</v>
      </c>
      <c r="N65" s="599"/>
      <c r="O65" s="103"/>
      <c r="P65" s="103"/>
      <c r="Q65" s="103"/>
      <c r="R65" s="329"/>
      <c r="S65" s="330"/>
      <c r="T65" s="82"/>
      <c r="U65" s="60"/>
      <c r="V65" s="60"/>
      <c r="W65" s="60"/>
      <c r="X65" s="60"/>
      <c r="Y65" s="60"/>
      <c r="Z65" s="61"/>
      <c r="AA65" s="60"/>
      <c r="AB65" s="60"/>
      <c r="AC65" s="60"/>
      <c r="AD65" s="60"/>
      <c r="AE65" s="60"/>
      <c r="AF65" s="60"/>
      <c r="AG65" s="60"/>
      <c r="AH65" s="60"/>
      <c r="AI65" s="60"/>
      <c r="AJ65" s="60"/>
      <c r="AK65" s="60"/>
      <c r="AL65" s="60"/>
      <c r="AM65" s="60"/>
      <c r="AN65" s="60"/>
    </row>
    <row r="66" spans="1:40" ht="15.75" thickBot="1" x14ac:dyDescent="0.3">
      <c r="A66" s="103"/>
      <c r="B66" s="241"/>
      <c r="C66" s="63"/>
      <c r="D66" s="50"/>
      <c r="E66" s="50"/>
      <c r="F66" s="22" t="s">
        <v>257</v>
      </c>
      <c r="G66" s="47" t="s">
        <v>7</v>
      </c>
      <c r="H66" s="23">
        <f>H52+H54+H56+H58+H60+H62+H65</f>
        <v>0</v>
      </c>
      <c r="I66" s="23">
        <f>I52+I54+I56+I58+I60+I62+I65</f>
        <v>0</v>
      </c>
      <c r="J66" s="153">
        <f>J52+J54+J56+J58+J60+J65+J62+J63</f>
        <v>0</v>
      </c>
      <c r="K66" s="153">
        <f>K52+K54+K56+K58+K60+K65+K62+K63</f>
        <v>0</v>
      </c>
      <c r="L66" s="153">
        <f>L52+L54+L56+L58+L60+L65+L62+L63</f>
        <v>0</v>
      </c>
      <c r="M66" s="502">
        <f>M52+M54+M56+M58+M60+M65+M62+M63</f>
        <v>0</v>
      </c>
      <c r="N66" s="599"/>
      <c r="O66" s="103"/>
      <c r="P66" s="103"/>
      <c r="Q66" s="103"/>
      <c r="R66" s="329"/>
      <c r="S66" s="329"/>
      <c r="T66" s="52"/>
      <c r="U66" s="60"/>
      <c r="V66" s="60"/>
      <c r="W66" s="60"/>
      <c r="X66" s="60"/>
      <c r="Y66" s="60"/>
      <c r="Z66" s="60"/>
      <c r="AA66" s="60"/>
      <c r="AB66" s="60"/>
      <c r="AC66" s="60"/>
      <c r="AD66" s="60"/>
      <c r="AE66" s="60"/>
      <c r="AF66" s="60"/>
      <c r="AG66" s="60"/>
      <c r="AH66" s="60"/>
      <c r="AI66" s="60"/>
      <c r="AJ66" s="60"/>
      <c r="AK66" s="60"/>
      <c r="AL66" s="60"/>
      <c r="AM66" s="60"/>
      <c r="AN66" s="60"/>
    </row>
    <row r="67" spans="1:40" s="63" customFormat="1" ht="6.95" customHeight="1" x14ac:dyDescent="0.25">
      <c r="A67" s="114"/>
      <c r="B67" s="241"/>
      <c r="D67" s="50"/>
      <c r="E67" s="50"/>
      <c r="F67" s="181"/>
      <c r="G67" s="64"/>
      <c r="H67" s="64"/>
      <c r="I67" s="64"/>
      <c r="J67" s="159"/>
      <c r="K67" s="159"/>
      <c r="L67" s="159"/>
      <c r="M67" s="159"/>
      <c r="N67" s="599"/>
      <c r="O67" s="114"/>
      <c r="P67" s="114"/>
      <c r="Q67" s="114"/>
      <c r="R67" s="334"/>
      <c r="S67" s="334"/>
      <c r="T67" s="69"/>
      <c r="U67" s="73"/>
      <c r="V67" s="73"/>
      <c r="W67" s="73"/>
      <c r="X67" s="73"/>
      <c r="Y67" s="73"/>
      <c r="Z67" s="73"/>
      <c r="AA67" s="73"/>
      <c r="AB67" s="73"/>
      <c r="AC67" s="73"/>
      <c r="AD67" s="73"/>
      <c r="AE67" s="73"/>
      <c r="AF67" s="73"/>
      <c r="AG67" s="73"/>
      <c r="AH67" s="73"/>
      <c r="AI67" s="73"/>
      <c r="AJ67" s="73"/>
      <c r="AK67" s="73"/>
      <c r="AL67" s="73"/>
      <c r="AM67" s="73"/>
      <c r="AN67" s="73"/>
    </row>
    <row r="68" spans="1:40" ht="15.75" thickBot="1" x14ac:dyDescent="0.3">
      <c r="A68" s="103"/>
      <c r="B68" s="104"/>
      <c r="C68" s="60"/>
      <c r="D68" s="63"/>
      <c r="E68" s="56"/>
      <c r="F68" s="182" t="s">
        <v>137</v>
      </c>
      <c r="G68" s="24" t="s">
        <v>6</v>
      </c>
      <c r="H68" s="24"/>
      <c r="I68" s="24"/>
      <c r="J68" s="24">
        <v>260</v>
      </c>
      <c r="K68" s="24">
        <v>260</v>
      </c>
      <c r="L68" s="24">
        <v>260</v>
      </c>
      <c r="M68" s="503">
        <v>260</v>
      </c>
      <c r="N68" s="599"/>
      <c r="O68" s="103"/>
      <c r="P68" s="103"/>
      <c r="Q68" s="103"/>
      <c r="R68" s="329"/>
      <c r="S68" s="329"/>
      <c r="T68" s="52"/>
      <c r="U68" s="60"/>
      <c r="V68" s="60"/>
      <c r="W68" s="60"/>
      <c r="X68" s="60"/>
      <c r="Y68" s="60"/>
      <c r="Z68" s="60"/>
      <c r="AA68" s="60"/>
      <c r="AB68" s="60"/>
      <c r="AC68" s="60"/>
      <c r="AD68" s="60"/>
      <c r="AE68" s="60"/>
      <c r="AF68" s="60"/>
      <c r="AG68" s="60"/>
      <c r="AH68" s="60"/>
      <c r="AI68" s="60"/>
      <c r="AJ68" s="60"/>
      <c r="AK68" s="60"/>
      <c r="AL68" s="60"/>
      <c r="AM68" s="60"/>
      <c r="AN68" s="60"/>
    </row>
    <row r="69" spans="1:40" ht="15.75" thickBot="1" x14ac:dyDescent="0.3">
      <c r="A69" s="103"/>
      <c r="B69" s="413">
        <f>ROUNDDOWN(MAX(0,Betriebsdaten!E14-D69-D71-D73-D75-D77+AA59),4)</f>
        <v>0</v>
      </c>
      <c r="C69" s="217" t="s">
        <v>89</v>
      </c>
      <c r="D69" s="213"/>
      <c r="E69" s="218" t="str">
        <f>IF(D69&gt;0,T69,"-")</f>
        <v>-</v>
      </c>
      <c r="F69" s="166" t="s">
        <v>58</v>
      </c>
      <c r="G69" s="45" t="s">
        <v>7</v>
      </c>
      <c r="H69" s="10"/>
      <c r="I69" s="10"/>
      <c r="J69" s="160">
        <f>IF(E69=TRUE,J68*$D69,)</f>
        <v>0</v>
      </c>
      <c r="K69" s="160">
        <f>IF(E69=TRUE,K68*$D69,)</f>
        <v>0</v>
      </c>
      <c r="L69" s="160">
        <f>IF(E69=TRUE,L68*$D69,)</f>
        <v>0</v>
      </c>
      <c r="M69" s="504">
        <f>IF(E69=TRUE,M68*$D69,)</f>
        <v>0</v>
      </c>
      <c r="N69" s="599"/>
      <c r="O69" s="103"/>
      <c r="P69" s="103"/>
      <c r="Q69" s="103"/>
      <c r="R69" s="329"/>
      <c r="S69" s="329"/>
      <c r="T69" s="82" t="b">
        <f>IF(AND(D69&lt;=Betriebsdaten!E14,Betriebsdaten!E14&gt;=(D69+D71+D73+D75+D77),Betriebsdaten!E11&gt;=(D52+D54+D56+D58+D60+D69+D71+D73+D75+D77),Betriebsdaten!E11-(D52+D54+D56+D58+D60+D69+D71+D73+D75+D77)-IF(B34&gt;D54+D56+D58+D60,B34-D52-D54-D56-D58-D60,)&gt;=0,B69&gt;=0),TRUE,FALSE)</f>
        <v>1</v>
      </c>
      <c r="U69" s="60"/>
      <c r="V69" s="60"/>
      <c r="W69" s="60"/>
      <c r="X69" s="60"/>
      <c r="Y69" s="60"/>
      <c r="Z69" s="61"/>
      <c r="AA69" s="60"/>
      <c r="AB69" s="60"/>
      <c r="AC69" s="60"/>
      <c r="AD69" s="60"/>
      <c r="AE69" s="60"/>
      <c r="AF69" s="60"/>
      <c r="AG69" s="60"/>
      <c r="AH69" s="60"/>
      <c r="AI69" s="60"/>
      <c r="AJ69" s="60"/>
      <c r="AK69" s="60"/>
      <c r="AL69" s="60"/>
      <c r="AM69" s="60"/>
      <c r="AN69" s="60"/>
    </row>
    <row r="70" spans="1:40" ht="15.75" thickBot="1" x14ac:dyDescent="0.3">
      <c r="A70" s="103"/>
      <c r="B70" s="250"/>
      <c r="C70" s="69"/>
      <c r="D70" s="50"/>
      <c r="E70" s="50"/>
      <c r="F70" s="183" t="s">
        <v>37</v>
      </c>
      <c r="G70" s="35" t="s">
        <v>6</v>
      </c>
      <c r="H70" s="24"/>
      <c r="I70" s="24"/>
      <c r="J70" s="24">
        <v>360</v>
      </c>
      <c r="K70" s="24">
        <v>360</v>
      </c>
      <c r="L70" s="24">
        <v>360</v>
      </c>
      <c r="M70" s="503">
        <v>360</v>
      </c>
      <c r="N70" s="599"/>
      <c r="O70" s="103"/>
      <c r="P70" s="103"/>
      <c r="Q70" s="103"/>
      <c r="R70" s="329"/>
      <c r="S70" s="329"/>
      <c r="T70" s="52"/>
      <c r="U70" s="60"/>
      <c r="V70" s="60"/>
      <c r="W70" s="60"/>
      <c r="X70" s="60"/>
      <c r="Y70" s="60"/>
      <c r="Z70" s="60"/>
      <c r="AA70" s="60"/>
      <c r="AB70" s="60"/>
      <c r="AC70" s="60"/>
      <c r="AD70" s="60"/>
      <c r="AE70" s="60"/>
      <c r="AF70" s="60"/>
      <c r="AG70" s="60"/>
      <c r="AH70" s="60"/>
      <c r="AI70" s="60"/>
      <c r="AJ70" s="60"/>
      <c r="AK70" s="60"/>
      <c r="AL70" s="60"/>
      <c r="AM70" s="60"/>
      <c r="AN70" s="60"/>
    </row>
    <row r="71" spans="1:40" ht="15.75" thickBot="1" x14ac:dyDescent="0.3">
      <c r="A71" s="103"/>
      <c r="B71" s="413">
        <f>ROUNDDOWN(MAX(0,Betriebsdaten!E14-D69-D71-D73-D75-D77+AA59),4)</f>
        <v>0</v>
      </c>
      <c r="C71" s="217" t="s">
        <v>89</v>
      </c>
      <c r="D71" s="213"/>
      <c r="E71" s="218" t="str">
        <f>IF(D71&gt;0,T71,"-")</f>
        <v>-</v>
      </c>
      <c r="F71" s="166" t="s">
        <v>59</v>
      </c>
      <c r="G71" s="32" t="s">
        <v>7</v>
      </c>
      <c r="H71" s="1"/>
      <c r="I71" s="1"/>
      <c r="J71" s="142">
        <f>IF(E71=TRUE,J70*$D71,)</f>
        <v>0</v>
      </c>
      <c r="K71" s="142">
        <f>IF(E71=TRUE,K70*$D71,)</f>
        <v>0</v>
      </c>
      <c r="L71" s="142">
        <f>IF(E71=TRUE,L70*$D71,)</f>
        <v>0</v>
      </c>
      <c r="M71" s="149">
        <f>IF(E71=TRUE,M70*$D71,)</f>
        <v>0</v>
      </c>
      <c r="N71" s="599"/>
      <c r="O71" s="103"/>
      <c r="P71" s="103"/>
      <c r="Q71" s="103"/>
      <c r="R71" s="329"/>
      <c r="S71" s="329"/>
      <c r="T71" s="82" t="b">
        <f>IF(AND(D71&lt;=Betriebsdaten!E14,Betriebsdaten!E14&gt;=(D69+D71+D73+D75+D77),Betriebsdaten!E11&gt;=(D52+D54+D56+D58+D60+D69+D71+D73+D75+D77),Betriebsdaten!E11-(D52+D54+D56+D58+D60+D69+D71+D73+D75+D77)-IF(B34&gt;D54+D56+D58+D60,B34-D52-D54-D56-D58-D60,)&gt;=0,B71&gt;=0),TRUE,FALSE)</f>
        <v>1</v>
      </c>
      <c r="V71" s="60"/>
      <c r="W71" s="60"/>
      <c r="X71" s="60"/>
      <c r="Y71" s="60"/>
      <c r="Z71" s="61"/>
      <c r="AA71" s="60"/>
      <c r="AB71" s="60"/>
      <c r="AC71" s="60"/>
      <c r="AD71" s="60"/>
      <c r="AE71" s="60"/>
      <c r="AF71" s="60"/>
      <c r="AG71" s="60"/>
      <c r="AH71" s="60"/>
      <c r="AI71" s="60"/>
      <c r="AJ71" s="60"/>
      <c r="AK71" s="60"/>
      <c r="AL71" s="60"/>
      <c r="AM71" s="60"/>
      <c r="AN71" s="60"/>
    </row>
    <row r="72" spans="1:40" ht="15.75" thickBot="1" x14ac:dyDescent="0.3">
      <c r="A72" s="103"/>
      <c r="B72" s="250"/>
      <c r="C72" s="69"/>
      <c r="D72" s="50"/>
      <c r="E72" s="50"/>
      <c r="F72" s="183" t="s">
        <v>38</v>
      </c>
      <c r="G72" s="35" t="s">
        <v>6</v>
      </c>
      <c r="H72" s="24"/>
      <c r="I72" s="24"/>
      <c r="J72" s="24">
        <v>560</v>
      </c>
      <c r="K72" s="24">
        <v>560</v>
      </c>
      <c r="L72" s="24">
        <v>560</v>
      </c>
      <c r="M72" s="503">
        <v>560</v>
      </c>
      <c r="N72" s="599"/>
      <c r="O72" s="103"/>
      <c r="P72" s="103"/>
      <c r="Q72" s="103"/>
      <c r="R72" s="329"/>
      <c r="S72" s="329"/>
      <c r="T72" s="52"/>
      <c r="U72" s="60"/>
      <c r="V72" s="60"/>
      <c r="W72" s="60"/>
      <c r="X72" s="60"/>
      <c r="Y72" s="60"/>
      <c r="Z72" s="60"/>
      <c r="AA72" s="60"/>
      <c r="AB72" s="60"/>
      <c r="AC72" s="60"/>
      <c r="AD72" s="60"/>
      <c r="AE72" s="60"/>
      <c r="AF72" s="60"/>
      <c r="AG72" s="60"/>
      <c r="AH72" s="60"/>
      <c r="AI72" s="60"/>
      <c r="AJ72" s="60"/>
      <c r="AK72" s="60"/>
      <c r="AL72" s="60"/>
      <c r="AM72" s="60"/>
      <c r="AN72" s="60"/>
    </row>
    <row r="73" spans="1:40" ht="15.75" thickBot="1" x14ac:dyDescent="0.3">
      <c r="A73" s="103"/>
      <c r="B73" s="413">
        <f>ROUNDDOWN(MAX(0,IF(OR(Betriebsdaten!J11&gt;0,Betriebsdaten!M11="ja"),U73,)),4)</f>
        <v>0</v>
      </c>
      <c r="C73" s="217" t="s">
        <v>89</v>
      </c>
      <c r="D73" s="213"/>
      <c r="E73" s="218" t="str">
        <f>IF(D73&gt;0,T73,"-")</f>
        <v>-</v>
      </c>
      <c r="F73" s="166" t="s">
        <v>61</v>
      </c>
      <c r="G73" s="32" t="s">
        <v>7</v>
      </c>
      <c r="H73" s="1"/>
      <c r="I73" s="1"/>
      <c r="J73" s="142">
        <f>IF(E73=TRUE,J72*$D73,)</f>
        <v>0</v>
      </c>
      <c r="K73" s="142">
        <f>IF(E73=TRUE,K72*$D73,)</f>
        <v>0</v>
      </c>
      <c r="L73" s="142">
        <f>IF(E73=TRUE,L72*$D73,)</f>
        <v>0</v>
      </c>
      <c r="M73" s="149">
        <f>IF(E73=TRUE,M72*$D73,)</f>
        <v>0</v>
      </c>
      <c r="N73" s="599"/>
      <c r="O73" s="103"/>
      <c r="P73" s="103"/>
      <c r="Q73" s="103"/>
      <c r="R73" s="329"/>
      <c r="S73" s="329"/>
      <c r="T73" s="55" t="b">
        <f>IF(AND(D73&lt;=Betriebsdaten!E14,Betriebsdaten!E14&gt;=(D69+D71+D73+D75+D77),OR(Betriebsdaten!J11&gt;0,Betriebsdaten!M11="ja"),Betriebsdaten!E11-(D52+D54+D56+D58+D60+D69+D71+D73+D75+D77)-IF(B34&gt;D54+D56+D58+D60,B34-D52-D54-D56-D58-D60,)&gt;=0,B73&gt;=0),TRUE,FALSE)</f>
        <v>0</v>
      </c>
      <c r="U73" s="84">
        <f>Betriebsdaten!E14-D69-D71-D73-D75-D77+AA59</f>
        <v>0</v>
      </c>
      <c r="V73" s="60"/>
      <c r="W73" s="60"/>
      <c r="X73" s="60"/>
      <c r="Y73" s="60"/>
      <c r="Z73" s="61"/>
      <c r="AA73" s="60"/>
      <c r="AB73" s="60"/>
      <c r="AC73" s="60"/>
      <c r="AD73" s="60"/>
      <c r="AE73" s="60"/>
      <c r="AF73" s="60"/>
      <c r="AG73" s="60"/>
      <c r="AH73" s="60"/>
      <c r="AI73" s="60"/>
      <c r="AJ73" s="60"/>
      <c r="AK73" s="60"/>
      <c r="AL73" s="60"/>
      <c r="AM73" s="60"/>
      <c r="AN73" s="60"/>
    </row>
    <row r="74" spans="1:40" ht="15.75" thickBot="1" x14ac:dyDescent="0.3">
      <c r="A74" s="103"/>
      <c r="B74" s="250"/>
      <c r="C74" s="69"/>
      <c r="D74" s="50"/>
      <c r="E74" s="50"/>
      <c r="F74" s="183" t="s">
        <v>39</v>
      </c>
      <c r="G74" s="35" t="s">
        <v>6</v>
      </c>
      <c r="H74" s="24"/>
      <c r="I74" s="24"/>
      <c r="J74" s="24">
        <v>305</v>
      </c>
      <c r="K74" s="24">
        <v>305</v>
      </c>
      <c r="L74" s="24">
        <v>305</v>
      </c>
      <c r="M74" s="503">
        <v>305</v>
      </c>
      <c r="N74" s="599"/>
      <c r="O74" s="103"/>
      <c r="P74" s="103"/>
      <c r="Q74" s="103"/>
      <c r="R74" s="329"/>
      <c r="S74" s="329"/>
      <c r="T74" s="52"/>
      <c r="U74" s="81"/>
      <c r="V74" s="60"/>
      <c r="W74" s="60"/>
      <c r="X74" s="60"/>
      <c r="Y74" s="60"/>
      <c r="Z74" s="60"/>
      <c r="AA74" s="60"/>
      <c r="AB74" s="60"/>
      <c r="AC74" s="60"/>
      <c r="AD74" s="60"/>
      <c r="AE74" s="60"/>
      <c r="AF74" s="60"/>
      <c r="AG74" s="60"/>
      <c r="AH74" s="60"/>
      <c r="AI74" s="60"/>
      <c r="AJ74" s="60"/>
      <c r="AK74" s="60"/>
      <c r="AL74" s="60"/>
      <c r="AM74" s="60"/>
      <c r="AN74" s="60"/>
    </row>
    <row r="75" spans="1:40" ht="15.75" thickBot="1" x14ac:dyDescent="0.3">
      <c r="A75" s="103"/>
      <c r="B75" s="413">
        <f>ROUNDDOWN(MAX(0,IF(OR(Betriebsdaten!J9&gt;0,Betriebsdaten!M9="ja"),U75,)),4)</f>
        <v>0</v>
      </c>
      <c r="C75" s="217" t="s">
        <v>89</v>
      </c>
      <c r="D75" s="213"/>
      <c r="E75" s="218" t="str">
        <f>IF(D75&gt;0,T75,"-")</f>
        <v>-</v>
      </c>
      <c r="F75" s="166" t="s">
        <v>60</v>
      </c>
      <c r="G75" s="32" t="s">
        <v>7</v>
      </c>
      <c r="H75" s="1"/>
      <c r="I75" s="1"/>
      <c r="J75" s="142">
        <f>IF(E75=TRUE,J74*$D75,)</f>
        <v>0</v>
      </c>
      <c r="K75" s="142">
        <f>IF(E75=TRUE,K74*$D75,)</f>
        <v>0</v>
      </c>
      <c r="L75" s="142">
        <f>IF(E75=TRUE,L74*$D75,)</f>
        <v>0</v>
      </c>
      <c r="M75" s="149">
        <f>IF(E75=TRUE,M74*$D75,)</f>
        <v>0</v>
      </c>
      <c r="N75" s="599"/>
      <c r="O75" s="103"/>
      <c r="P75" s="103"/>
      <c r="Q75" s="103"/>
      <c r="R75" s="329"/>
      <c r="S75" s="329"/>
      <c r="T75" s="55" t="b">
        <f>IF(AND(D75&lt;=Betriebsdaten!E14,Betriebsdaten!E14&gt;=(D69+D71+D73+D75+D77),OR(Betriebsdaten!J9&gt;0,Betriebsdaten!M9="ja"),Betriebsdaten!E11-(D52+D54+D56+D58+D60+D69+D71+D73+D75+D77)-IF(B34&gt;D54+D56+D58+D60,B34-D52-D54-D56-D58-D60,)&gt;=0,B75&gt;=0),TRUE,FALSE)</f>
        <v>0</v>
      </c>
      <c r="U75" s="84">
        <f>Betriebsdaten!E14-D69-D71-D73-D75-D77+AA59</f>
        <v>0</v>
      </c>
      <c r="V75" s="60"/>
      <c r="W75" s="60"/>
      <c r="X75" s="60"/>
      <c r="Y75" s="60"/>
      <c r="Z75" s="61"/>
      <c r="AA75" s="60"/>
      <c r="AB75" s="60"/>
      <c r="AC75" s="60"/>
      <c r="AD75" s="60"/>
      <c r="AE75" s="60"/>
      <c r="AF75" s="60"/>
      <c r="AG75" s="60"/>
      <c r="AH75" s="60"/>
      <c r="AI75" s="60"/>
      <c r="AJ75" s="60"/>
      <c r="AK75" s="60"/>
      <c r="AL75" s="60"/>
      <c r="AM75" s="60"/>
      <c r="AN75" s="60"/>
    </row>
    <row r="76" spans="1:40" ht="15.75" thickBot="1" x14ac:dyDescent="0.3">
      <c r="A76" s="103"/>
      <c r="B76" s="417"/>
      <c r="C76" s="69"/>
      <c r="D76" s="50"/>
      <c r="E76" s="50"/>
      <c r="F76" s="183" t="s">
        <v>40</v>
      </c>
      <c r="G76" s="35" t="s">
        <v>6</v>
      </c>
      <c r="H76" s="24"/>
      <c r="I76" s="24"/>
      <c r="J76" s="24">
        <v>755</v>
      </c>
      <c r="K76" s="24">
        <v>755</v>
      </c>
      <c r="L76" s="24">
        <v>755</v>
      </c>
      <c r="M76" s="503">
        <v>755</v>
      </c>
      <c r="N76" s="599"/>
      <c r="O76" s="103"/>
      <c r="P76" s="103"/>
      <c r="Q76" s="103"/>
      <c r="R76" s="329"/>
      <c r="S76" s="329"/>
      <c r="T76" s="52"/>
      <c r="U76" s="81"/>
      <c r="V76" s="60"/>
      <c r="W76" s="60"/>
      <c r="X76" s="60"/>
      <c r="Y76" s="60"/>
      <c r="Z76" s="60"/>
      <c r="AA76" s="60"/>
      <c r="AB76" s="60"/>
      <c r="AC76" s="60"/>
      <c r="AD76" s="60"/>
      <c r="AE76" s="60"/>
      <c r="AF76" s="60"/>
      <c r="AG76" s="60"/>
      <c r="AH76" s="60"/>
      <c r="AI76" s="60"/>
      <c r="AJ76" s="60"/>
      <c r="AK76" s="60"/>
      <c r="AL76" s="60"/>
      <c r="AM76" s="60"/>
      <c r="AN76" s="60"/>
    </row>
    <row r="77" spans="1:40" ht="15.75" thickBot="1" x14ac:dyDescent="0.3">
      <c r="A77" s="103"/>
      <c r="B77" s="413">
        <f>ROUNDDOWN(MAX(0,IF(OR(Betriebsdaten!J11&gt;0,Betriebsdaten!M11="ja"),U77,)),4)</f>
        <v>0</v>
      </c>
      <c r="C77" s="217" t="s">
        <v>89</v>
      </c>
      <c r="D77" s="213"/>
      <c r="E77" s="218" t="str">
        <f>IF(D77&gt;0,T77,"-")</f>
        <v>-</v>
      </c>
      <c r="F77" s="172" t="s">
        <v>62</v>
      </c>
      <c r="G77" s="33" t="s">
        <v>7</v>
      </c>
      <c r="H77" s="5"/>
      <c r="I77" s="5"/>
      <c r="J77" s="143">
        <f>IF(E77=TRUE,J76*$D77,)</f>
        <v>0</v>
      </c>
      <c r="K77" s="143">
        <f>IF(E77=TRUE,K76*$D77,)</f>
        <v>0</v>
      </c>
      <c r="L77" s="143">
        <f>IF(E77=TRUE,L76*$D77,)</f>
        <v>0</v>
      </c>
      <c r="M77" s="498">
        <f>IF(E77=TRUE,M76*$D77,)</f>
        <v>0</v>
      </c>
      <c r="N77" s="599"/>
      <c r="O77" s="103"/>
      <c r="P77" s="103"/>
      <c r="Q77" s="103"/>
      <c r="R77" s="329"/>
      <c r="S77" s="329"/>
      <c r="T77" s="55" t="b">
        <f>IF(AND(D77&lt;=Betriebsdaten!E14,Betriebsdaten!E14&gt;=(D69+D71+D73+D75+D77),OR(Betriebsdaten!J11&gt;0,Betriebsdaten!M11="ja"),Betriebsdaten!E11-(D52+D54+D56+D58+D60+D69+D71+D73+D75+D77)-IF(B34&gt;D54+D56+D58+D60,B34-D52-D54-D56-D58-D60,)&gt;=0,B77&gt;=0),TRUE,FALSE)</f>
        <v>0</v>
      </c>
      <c r="U77" s="84">
        <f>Betriebsdaten!E14-D69-D71-D73-D75-D77+AA59</f>
        <v>0</v>
      </c>
      <c r="V77" s="60"/>
      <c r="W77" s="60"/>
      <c r="X77" s="60"/>
      <c r="Y77" s="60"/>
      <c r="Z77" s="61"/>
      <c r="AA77" s="60"/>
      <c r="AB77" s="60"/>
      <c r="AC77" s="60"/>
      <c r="AD77" s="60"/>
      <c r="AE77" s="60"/>
      <c r="AF77" s="60"/>
      <c r="AG77" s="60"/>
      <c r="AH77" s="60"/>
      <c r="AI77" s="60"/>
      <c r="AJ77" s="60"/>
      <c r="AK77" s="60"/>
      <c r="AL77" s="60"/>
      <c r="AM77" s="60"/>
      <c r="AN77" s="60"/>
    </row>
    <row r="78" spans="1:40" ht="15.75" thickBot="1" x14ac:dyDescent="0.3">
      <c r="A78" s="103"/>
      <c r="B78" s="125"/>
      <c r="C78" s="50"/>
      <c r="D78" s="69"/>
      <c r="E78" s="69"/>
      <c r="F78" s="49" t="s">
        <v>255</v>
      </c>
      <c r="G78" s="48" t="s">
        <v>7</v>
      </c>
      <c r="H78" s="25">
        <f>H69+H71+H73+H75+H77</f>
        <v>0</v>
      </c>
      <c r="I78" s="25">
        <f>I69+I71+I73+I75+I77</f>
        <v>0</v>
      </c>
      <c r="J78" s="154">
        <f>J69+J71+J73+J75+J77</f>
        <v>0</v>
      </c>
      <c r="K78" s="154">
        <f>K69+K71+K73+K75+K77</f>
        <v>0</v>
      </c>
      <c r="L78" s="154">
        <f t="shared" ref="L78:M78" si="8">L69+L71+L73+L75+L77</f>
        <v>0</v>
      </c>
      <c r="M78" s="505">
        <f t="shared" si="8"/>
        <v>0</v>
      </c>
      <c r="N78" s="599"/>
      <c r="O78" s="103"/>
      <c r="P78" s="103"/>
      <c r="Q78" s="103"/>
      <c r="R78" s="329"/>
      <c r="S78" s="329"/>
      <c r="T78" s="52"/>
      <c r="U78" s="60"/>
      <c r="V78" s="60"/>
      <c r="W78" s="60"/>
      <c r="X78" s="60"/>
      <c r="Y78" s="60"/>
      <c r="Z78" s="60"/>
      <c r="AA78" s="60"/>
      <c r="AB78" s="60"/>
      <c r="AC78" s="60"/>
      <c r="AD78" s="60"/>
      <c r="AE78" s="60"/>
      <c r="AF78" s="60"/>
      <c r="AG78" s="60"/>
      <c r="AH78" s="60"/>
      <c r="AI78" s="60"/>
      <c r="AJ78" s="60"/>
      <c r="AK78" s="60"/>
      <c r="AL78" s="60"/>
      <c r="AM78" s="60"/>
      <c r="AN78" s="60"/>
    </row>
    <row r="79" spans="1:40" ht="18" customHeight="1" x14ac:dyDescent="0.25">
      <c r="A79" s="103"/>
      <c r="B79" s="125"/>
      <c r="C79" s="50"/>
      <c r="D79" s="69"/>
      <c r="E79" s="69"/>
      <c r="F79" s="64"/>
      <c r="G79" s="64"/>
      <c r="H79" s="64"/>
      <c r="I79" s="64"/>
      <c r="J79" s="159"/>
      <c r="K79" s="159"/>
      <c r="L79" s="159"/>
      <c r="M79" s="159"/>
      <c r="N79" s="599"/>
      <c r="O79" s="103"/>
      <c r="P79" s="103"/>
      <c r="Q79" s="103"/>
      <c r="R79" s="329"/>
      <c r="S79" s="329"/>
      <c r="T79" s="52"/>
      <c r="U79" s="60"/>
      <c r="V79" s="60"/>
      <c r="W79" s="60"/>
      <c r="X79" s="60"/>
      <c r="Y79" s="60"/>
      <c r="Z79" s="60"/>
      <c r="AA79" s="60"/>
      <c r="AB79" s="60"/>
      <c r="AC79" s="60"/>
      <c r="AD79" s="60"/>
      <c r="AE79" s="60"/>
      <c r="AF79" s="60"/>
      <c r="AG79" s="60"/>
      <c r="AH79" s="60"/>
      <c r="AI79" s="60"/>
      <c r="AJ79" s="60"/>
      <c r="AK79" s="60"/>
      <c r="AL79" s="60"/>
      <c r="AM79" s="60"/>
      <c r="AN79" s="60"/>
    </row>
    <row r="80" spans="1:40" ht="18" customHeight="1" thickBot="1" x14ac:dyDescent="0.3">
      <c r="A80" s="103"/>
      <c r="B80" s="125"/>
      <c r="C80" s="50"/>
      <c r="D80" s="69"/>
      <c r="E80" s="69"/>
      <c r="F80" s="64" t="s">
        <v>218</v>
      </c>
      <c r="G80" s="64"/>
      <c r="H80" s="64"/>
      <c r="I80" s="64"/>
      <c r="J80" s="159"/>
      <c r="K80" s="159"/>
      <c r="L80" s="159"/>
      <c r="M80" s="159"/>
      <c r="N80" s="599"/>
      <c r="O80" s="103"/>
      <c r="P80" s="103"/>
      <c r="Q80" s="103"/>
      <c r="R80" s="329"/>
      <c r="S80" s="329"/>
      <c r="T80" s="52"/>
      <c r="U80" s="60"/>
      <c r="V80" s="60"/>
      <c r="W80" s="60"/>
      <c r="X80" s="60"/>
      <c r="Y80" s="60"/>
      <c r="Z80" s="60"/>
      <c r="AA80" s="60"/>
      <c r="AB80" s="60"/>
      <c r="AC80" s="60"/>
      <c r="AD80" s="60"/>
      <c r="AE80" s="60"/>
      <c r="AF80" s="60"/>
      <c r="AG80" s="60"/>
      <c r="AH80" s="60"/>
      <c r="AI80" s="60"/>
      <c r="AJ80" s="60"/>
      <c r="AK80" s="60"/>
      <c r="AL80" s="60"/>
      <c r="AM80" s="60"/>
      <c r="AN80" s="60"/>
    </row>
    <row r="81" spans="1:40" ht="15.75" customHeight="1" thickBot="1" x14ac:dyDescent="0.3">
      <c r="A81" s="103"/>
      <c r="B81" s="125"/>
      <c r="C81" s="50"/>
      <c r="D81" s="69"/>
      <c r="E81" s="69"/>
      <c r="F81" s="278" t="s">
        <v>179</v>
      </c>
      <c r="G81" s="308" t="s">
        <v>6</v>
      </c>
      <c r="H81" s="279"/>
      <c r="I81" s="279"/>
      <c r="J81" s="303" t="s">
        <v>182</v>
      </c>
      <c r="K81" s="303" t="s">
        <v>182</v>
      </c>
      <c r="L81" s="303" t="s">
        <v>182</v>
      </c>
      <c r="M81" s="506" t="s">
        <v>182</v>
      </c>
      <c r="N81" s="599"/>
      <c r="O81" s="103"/>
      <c r="P81" s="103"/>
      <c r="Q81" s="103"/>
      <c r="R81" s="329"/>
      <c r="S81" s="329"/>
      <c r="T81" s="52"/>
      <c r="U81" s="60"/>
      <c r="V81" s="60"/>
      <c r="W81" s="60"/>
      <c r="X81" s="60"/>
      <c r="Y81" s="60"/>
      <c r="Z81" s="60"/>
      <c r="AA81" s="60"/>
      <c r="AB81" s="60"/>
      <c r="AC81" s="60"/>
      <c r="AD81" s="60"/>
      <c r="AE81" s="60"/>
      <c r="AF81" s="60"/>
      <c r="AG81" s="60"/>
      <c r="AH81" s="60"/>
      <c r="AI81" s="60"/>
      <c r="AJ81" s="60"/>
      <c r="AK81" s="60"/>
      <c r="AL81" s="60"/>
      <c r="AM81" s="60"/>
      <c r="AN81" s="60"/>
    </row>
    <row r="82" spans="1:40" ht="15.75" customHeight="1" thickBot="1" x14ac:dyDescent="0.3">
      <c r="A82" s="257"/>
      <c r="B82" s="50"/>
      <c r="C82" s="405">
        <f>ROUNDDOWN(MAX(0,Betriebsdaten!J19-D32-IF(Betriebsdaten!E9-Betriebsdaten!J19&lt;(D28+4%)*Betriebsdaten!E10,(D28+4%)*Betriebsdaten!E10,0)-IF(Betriebsdaten!E10-Rechner!D62-Rechner!D63&lt;Betriebsdaten!J19,Betriebsdaten!J19-(Betriebsdaten!E10-Rechner!D62-Rechner!D63),0)),4)</f>
        <v>0</v>
      </c>
      <c r="D82" s="216"/>
      <c r="E82" s="316" t="str">
        <f>IF(D82&gt;0,IF(AND(D82+D83&lt;=C82,D82+D83&lt;=Betriebsdaten!E10-Rechner!D62-Rechner!D63),TRUE,FALSE),"-")</f>
        <v>-</v>
      </c>
      <c r="F82" s="299" t="s">
        <v>180</v>
      </c>
      <c r="G82" s="309" t="s">
        <v>7</v>
      </c>
      <c r="H82" s="281"/>
      <c r="I82" s="281"/>
      <c r="J82" s="281">
        <f>IF(E82=TRUE,45*$D82,0)</f>
        <v>0</v>
      </c>
      <c r="K82" s="281">
        <f>IF(E82=TRUE,45*$D82,0)</f>
        <v>0</v>
      </c>
      <c r="L82" s="281">
        <f>IF(E82=TRUE,45*$D82,0)</f>
        <v>0</v>
      </c>
      <c r="M82" s="507">
        <f>IF(E82=TRUE,45*$D82,0)</f>
        <v>0</v>
      </c>
      <c r="N82" s="599"/>
      <c r="O82" s="103"/>
      <c r="P82" s="103"/>
      <c r="Q82" s="103"/>
      <c r="R82" s="329"/>
      <c r="S82" s="329"/>
      <c r="T82" s="52"/>
      <c r="U82" s="60"/>
      <c r="V82" s="60"/>
      <c r="W82" s="60"/>
      <c r="X82" s="60"/>
      <c r="Y82" s="60"/>
      <c r="Z82" s="60"/>
      <c r="AA82" s="60"/>
      <c r="AB82" s="60"/>
      <c r="AC82" s="60"/>
      <c r="AD82" s="60"/>
      <c r="AE82" s="60"/>
      <c r="AF82" s="60"/>
      <c r="AG82" s="60"/>
      <c r="AH82" s="60"/>
      <c r="AI82" s="60"/>
      <c r="AJ82" s="60"/>
      <c r="AK82" s="60"/>
      <c r="AL82" s="60"/>
      <c r="AM82" s="60"/>
      <c r="AN82" s="60"/>
    </row>
    <row r="83" spans="1:40" ht="15.75" customHeight="1" thickBot="1" x14ac:dyDescent="0.3">
      <c r="A83" s="103"/>
      <c r="B83" s="272"/>
      <c r="C83" s="300" t="s">
        <v>20</v>
      </c>
      <c r="D83" s="375"/>
      <c r="E83" s="317" t="str">
        <f>IF(D83&gt;0,IF(D82+D83&lt;=C82,TRUE,FALSE),"-")</f>
        <v>-</v>
      </c>
      <c r="F83" s="298" t="s">
        <v>181</v>
      </c>
      <c r="G83" s="309" t="s">
        <v>7</v>
      </c>
      <c r="H83" s="281"/>
      <c r="I83" s="281"/>
      <c r="J83" s="281">
        <f>IF(E83=TRUE,25*$D83,0)</f>
        <v>0</v>
      </c>
      <c r="K83" s="281">
        <f>IF(E83=TRUE,25*$D83,0)</f>
        <v>0</v>
      </c>
      <c r="L83" s="281">
        <f>IF(E83=TRUE,25*$D83,0)</f>
        <v>0</v>
      </c>
      <c r="M83" s="507">
        <f>IF(E83=TRUE,25*$D83,0)</f>
        <v>0</v>
      </c>
      <c r="N83" s="599"/>
      <c r="O83" s="103"/>
      <c r="P83" s="103"/>
      <c r="Q83" s="103"/>
      <c r="R83" s="329"/>
      <c r="S83" s="329"/>
      <c r="T83" s="52"/>
      <c r="U83" s="60"/>
      <c r="V83" s="60"/>
      <c r="W83" s="60"/>
      <c r="X83" s="60"/>
      <c r="Y83" s="60"/>
      <c r="Z83" s="60"/>
      <c r="AA83" s="60"/>
      <c r="AB83" s="60"/>
      <c r="AC83" s="60"/>
      <c r="AD83" s="60"/>
      <c r="AE83" s="60"/>
      <c r="AF83" s="60"/>
      <c r="AG83" s="60"/>
      <c r="AH83" s="60"/>
      <c r="AI83" s="60"/>
      <c r="AJ83" s="60"/>
      <c r="AK83" s="60"/>
      <c r="AL83" s="60"/>
      <c r="AM83" s="60"/>
      <c r="AN83" s="60"/>
    </row>
    <row r="84" spans="1:40" ht="15.75" customHeight="1" thickBot="1" x14ac:dyDescent="0.3">
      <c r="A84" s="103"/>
      <c r="B84" s="125"/>
      <c r="C84" s="301"/>
      <c r="D84" s="69"/>
      <c r="E84" s="69"/>
      <c r="F84" s="283" t="s">
        <v>351</v>
      </c>
      <c r="G84" s="310" t="s">
        <v>6</v>
      </c>
      <c r="H84" s="284"/>
      <c r="I84" s="284"/>
      <c r="J84" s="306" t="s">
        <v>183</v>
      </c>
      <c r="K84" s="306" t="s">
        <v>183</v>
      </c>
      <c r="L84" s="306" t="s">
        <v>183</v>
      </c>
      <c r="M84" s="508" t="s">
        <v>183</v>
      </c>
      <c r="N84" s="599"/>
      <c r="O84" s="103"/>
      <c r="P84" s="103"/>
      <c r="Q84" s="103"/>
      <c r="R84" s="329"/>
      <c r="S84" s="329"/>
      <c r="T84" s="52"/>
      <c r="U84" s="60"/>
      <c r="V84" s="60"/>
      <c r="W84" s="60"/>
      <c r="X84" s="60"/>
      <c r="Y84" s="60"/>
      <c r="Z84" s="60"/>
      <c r="AA84" s="60"/>
      <c r="AB84" s="60"/>
      <c r="AC84" s="60"/>
      <c r="AD84" s="60"/>
      <c r="AE84" s="60"/>
      <c r="AF84" s="60"/>
      <c r="AG84" s="60"/>
      <c r="AH84" s="60"/>
      <c r="AI84" s="60"/>
      <c r="AJ84" s="60"/>
      <c r="AK84" s="60"/>
      <c r="AL84" s="60"/>
      <c r="AM84" s="60"/>
      <c r="AN84" s="60"/>
    </row>
    <row r="85" spans="1:40" ht="15.75" customHeight="1" thickBot="1" x14ac:dyDescent="0.3">
      <c r="A85" s="257"/>
      <c r="B85" s="245">
        <f>ROUNDDOWN(MAX(0,IF(Betriebsdaten!J12&gt;=0.3,Betriebsdaten!E18-D85-D86,0)),4)</f>
        <v>0</v>
      </c>
      <c r="C85" s="301" t="s">
        <v>89</v>
      </c>
      <c r="D85" s="216"/>
      <c r="E85" s="316" t="str">
        <f>IF(D85&gt;0,IF(AND(D85+D86&lt;=Betriebsdaten!E18,Betriebsdaten!J12&gt;=0.3),TRUE,FALSE),"-")</f>
        <v>-</v>
      </c>
      <c r="F85" s="299" t="s">
        <v>185</v>
      </c>
      <c r="G85" s="309" t="s">
        <v>7</v>
      </c>
      <c r="H85" s="281"/>
      <c r="I85" s="281"/>
      <c r="J85" s="281">
        <f>IF($E85=TRUE,IF($D40="ja",(440-J39*1)*$D85,440*$D85),0)</f>
        <v>0</v>
      </c>
      <c r="K85" s="281">
        <f t="shared" ref="K85:M85" si="9">IF($E85=TRUE,IF($D40="ja",(440-K39*1)*$D85,440*$D85),0)</f>
        <v>0</v>
      </c>
      <c r="L85" s="281">
        <f t="shared" si="9"/>
        <v>0</v>
      </c>
      <c r="M85" s="507">
        <f t="shared" si="9"/>
        <v>0</v>
      </c>
      <c r="N85" s="599"/>
      <c r="O85" s="103"/>
      <c r="P85" s="103"/>
      <c r="Q85" s="103"/>
      <c r="R85" s="329"/>
      <c r="S85" s="329"/>
      <c r="T85" s="52"/>
      <c r="U85" s="60"/>
      <c r="V85" s="60"/>
      <c r="W85" s="60"/>
      <c r="X85" s="60"/>
      <c r="Y85" s="60"/>
      <c r="Z85" s="60"/>
      <c r="AA85" s="60"/>
      <c r="AB85" s="60"/>
      <c r="AC85" s="60"/>
      <c r="AD85" s="60"/>
      <c r="AE85" s="60"/>
      <c r="AF85" s="60"/>
      <c r="AG85" s="60"/>
      <c r="AH85" s="60"/>
      <c r="AI85" s="60"/>
      <c r="AJ85" s="60"/>
      <c r="AK85" s="60"/>
      <c r="AL85" s="60"/>
      <c r="AM85" s="60"/>
      <c r="AN85" s="60"/>
    </row>
    <row r="86" spans="1:40" ht="15.75" customHeight="1" thickBot="1" x14ac:dyDescent="0.3">
      <c r="A86" s="103"/>
      <c r="B86" s="243">
        <f>ROUNDDOWN(MAX(0,IF(Betriebsdaten!J12&gt;=0.3,Betriebsdaten!E18-D85-D86,0)),4)</f>
        <v>0</v>
      </c>
      <c r="C86" s="300" t="s">
        <v>89</v>
      </c>
      <c r="D86" s="375"/>
      <c r="E86" s="318" t="str">
        <f>IF(D86&gt;0,IF(AND(D85+D86&lt;=Betriebsdaten!E18,Betriebsdaten!J12&gt;=0.3),TRUE,FALSE),"-")</f>
        <v>-</v>
      </c>
      <c r="F86" s="298" t="s">
        <v>186</v>
      </c>
      <c r="G86" s="309" t="s">
        <v>7</v>
      </c>
      <c r="H86" s="281"/>
      <c r="I86" s="281"/>
      <c r="J86" s="281">
        <f>IF($E86=TRUE,IF($D40="ja",(370-J39*1)*$D86,370*$D86),0)</f>
        <v>0</v>
      </c>
      <c r="K86" s="281">
        <f t="shared" ref="K86:M86" si="10">IF($E86=TRUE,IF($D40="ja",(370-K39*1)*$D86,370*$D86),0)</f>
        <v>0</v>
      </c>
      <c r="L86" s="281">
        <f t="shared" si="10"/>
        <v>0</v>
      </c>
      <c r="M86" s="507">
        <f t="shared" si="10"/>
        <v>0</v>
      </c>
      <c r="N86" s="599"/>
      <c r="O86" s="103"/>
      <c r="P86" s="103"/>
      <c r="Q86" s="103"/>
      <c r="R86" s="329"/>
      <c r="S86" s="329"/>
      <c r="T86" s="52"/>
      <c r="U86" s="60"/>
      <c r="V86" s="60"/>
      <c r="W86" s="60"/>
      <c r="X86" s="60"/>
      <c r="Y86" s="60"/>
      <c r="Z86" s="60"/>
      <c r="AA86" s="60"/>
      <c r="AB86" s="60"/>
      <c r="AC86" s="60"/>
      <c r="AD86" s="60"/>
      <c r="AE86" s="60"/>
      <c r="AF86" s="60"/>
      <c r="AG86" s="60"/>
      <c r="AH86" s="60"/>
      <c r="AI86" s="60"/>
      <c r="AJ86" s="60"/>
      <c r="AK86" s="60"/>
      <c r="AL86" s="60"/>
      <c r="AM86" s="60"/>
      <c r="AN86" s="60"/>
    </row>
    <row r="87" spans="1:40" ht="15.75" customHeight="1" thickBot="1" x14ac:dyDescent="0.3">
      <c r="A87" s="103"/>
      <c r="B87" s="125"/>
      <c r="C87" s="301"/>
      <c r="D87" s="69"/>
      <c r="E87" s="82"/>
      <c r="F87" s="283" t="s">
        <v>352</v>
      </c>
      <c r="G87" s="310" t="s">
        <v>6</v>
      </c>
      <c r="H87" s="284"/>
      <c r="I87" s="284"/>
      <c r="J87" s="306" t="s">
        <v>184</v>
      </c>
      <c r="K87" s="306" t="s">
        <v>184</v>
      </c>
      <c r="L87" s="306" t="s">
        <v>184</v>
      </c>
      <c r="M87" s="508" t="s">
        <v>184</v>
      </c>
      <c r="N87" s="599"/>
      <c r="O87" s="103"/>
      <c r="P87" s="103"/>
      <c r="Q87" s="103"/>
      <c r="R87" s="329"/>
      <c r="S87" s="329"/>
      <c r="T87" s="52"/>
      <c r="U87" s="60"/>
      <c r="V87" s="60"/>
      <c r="W87" s="60"/>
      <c r="X87" s="60"/>
      <c r="Y87" s="60"/>
      <c r="Z87" s="60"/>
      <c r="AA87" s="60"/>
      <c r="AB87" s="60"/>
      <c r="AC87" s="60"/>
      <c r="AD87" s="60"/>
      <c r="AE87" s="60"/>
      <c r="AF87" s="60"/>
      <c r="AG87" s="60"/>
      <c r="AH87" s="60"/>
      <c r="AI87" s="60"/>
      <c r="AJ87" s="60"/>
      <c r="AK87" s="60"/>
      <c r="AL87" s="60"/>
      <c r="AM87" s="60"/>
      <c r="AN87" s="60"/>
    </row>
    <row r="88" spans="1:40" ht="15.75" customHeight="1" thickBot="1" x14ac:dyDescent="0.3">
      <c r="A88" s="257"/>
      <c r="B88" s="245">
        <f>ROUNDDOWN(MAX(0,IF(Betriebsdaten!J12&lt;0.3,Betriebsdaten!E18-D88-D89,0)),4)</f>
        <v>0</v>
      </c>
      <c r="C88" s="301" t="s">
        <v>89</v>
      </c>
      <c r="D88" s="216"/>
      <c r="E88" s="316" t="str">
        <f>IF(D88&gt;0,IF(AND(D89+D88&lt;=Betriebsdaten!E18,Betriebsdaten!J12&lt;0.3),TRUE,FALSE),"-")</f>
        <v>-</v>
      </c>
      <c r="F88" s="299" t="s">
        <v>187</v>
      </c>
      <c r="G88" s="309" t="s">
        <v>7</v>
      </c>
      <c r="H88" s="281"/>
      <c r="I88" s="281"/>
      <c r="J88" s="281">
        <f>IF(E88=TRUE,204*$D88,0)</f>
        <v>0</v>
      </c>
      <c r="K88" s="281">
        <f>IF(E88=TRUE,204*$D88,0)</f>
        <v>0</v>
      </c>
      <c r="L88" s="281">
        <f>IF(E88=TRUE,204*$D88,0)</f>
        <v>0</v>
      </c>
      <c r="M88" s="507">
        <f>IF(E88=TRUE,204*$D88,0)</f>
        <v>0</v>
      </c>
      <c r="N88" s="599"/>
      <c r="O88" s="103"/>
      <c r="P88" s="103"/>
      <c r="Q88" s="103"/>
      <c r="R88" s="329"/>
      <c r="S88" s="329"/>
      <c r="T88" s="52"/>
      <c r="U88" s="60"/>
      <c r="V88" s="60"/>
      <c r="W88" s="60"/>
      <c r="X88" s="60"/>
      <c r="Y88" s="60"/>
      <c r="Z88" s="60"/>
      <c r="AA88" s="60"/>
      <c r="AB88" s="60"/>
      <c r="AC88" s="60"/>
      <c r="AD88" s="60"/>
      <c r="AE88" s="60"/>
      <c r="AF88" s="60"/>
      <c r="AG88" s="60"/>
      <c r="AH88" s="60"/>
      <c r="AI88" s="60"/>
      <c r="AJ88" s="60"/>
      <c r="AK88" s="60"/>
      <c r="AL88" s="60"/>
      <c r="AM88" s="60"/>
      <c r="AN88" s="60"/>
    </row>
    <row r="89" spans="1:40" ht="15.75" customHeight="1" thickBot="1" x14ac:dyDescent="0.3">
      <c r="A89" s="103"/>
      <c r="B89" s="243">
        <f>ROUNDDOWN(MAX(0,IF(Betriebsdaten!J12&lt;0.3,Betriebsdaten!E18-D88-D89,0)),4)</f>
        <v>0</v>
      </c>
      <c r="C89" s="300" t="s">
        <v>89</v>
      </c>
      <c r="D89" s="375"/>
      <c r="E89" s="318" t="str">
        <f>IF(D89&gt;0,IF(AND(D89+D88&lt;=Betriebsdaten!E18,Betriebsdaten!J12&lt;0.3),TRUE,FALSE),"-")</f>
        <v>-</v>
      </c>
      <c r="F89" s="313" t="s">
        <v>188</v>
      </c>
      <c r="G89" s="314" t="s">
        <v>7</v>
      </c>
      <c r="H89" s="315"/>
      <c r="I89" s="315"/>
      <c r="J89" s="315">
        <f>IF(E89=TRUE,106*$D89,0)</f>
        <v>0</v>
      </c>
      <c r="K89" s="315">
        <f>IF(E89=TRUE,106*$D89,0)</f>
        <v>0</v>
      </c>
      <c r="L89" s="315">
        <f>IF(E89=TRUE,106*$D89,0)</f>
        <v>0</v>
      </c>
      <c r="M89" s="509">
        <f>IF(E89=TRUE,106*$D89,0)</f>
        <v>0</v>
      </c>
      <c r="N89" s="599"/>
      <c r="O89" s="103"/>
      <c r="P89" s="103"/>
      <c r="Q89" s="103"/>
      <c r="R89" s="329"/>
      <c r="S89" s="329"/>
      <c r="T89" s="52"/>
      <c r="U89" s="60"/>
      <c r="V89" s="60"/>
      <c r="W89" s="60"/>
      <c r="X89" s="60"/>
      <c r="Y89" s="60"/>
      <c r="Z89" s="60"/>
      <c r="AA89" s="60"/>
      <c r="AB89" s="60"/>
      <c r="AC89" s="60"/>
      <c r="AD89" s="60"/>
      <c r="AE89" s="60"/>
      <c r="AF89" s="60"/>
      <c r="AG89" s="60"/>
      <c r="AH89" s="60"/>
      <c r="AI89" s="60"/>
      <c r="AJ89" s="60"/>
      <c r="AK89" s="60"/>
      <c r="AL89" s="60"/>
      <c r="AM89" s="60"/>
      <c r="AN89" s="60"/>
    </row>
    <row r="90" spans="1:40" ht="15.75" customHeight="1" thickBot="1" x14ac:dyDescent="0.3">
      <c r="A90" s="103"/>
      <c r="B90" s="125"/>
      <c r="C90" s="50"/>
      <c r="D90" s="69"/>
      <c r="E90" s="69"/>
      <c r="F90" s="307" t="s">
        <v>217</v>
      </c>
      <c r="G90" s="311" t="s">
        <v>7</v>
      </c>
      <c r="H90" s="312">
        <f t="shared" ref="H90:M90" si="11">H82+H83+H85+H86+H88+H89</f>
        <v>0</v>
      </c>
      <c r="I90" s="312">
        <f t="shared" si="11"/>
        <v>0</v>
      </c>
      <c r="J90" s="312">
        <f>J82+J83+J85+J86+J88+J89</f>
        <v>0</v>
      </c>
      <c r="K90" s="312">
        <f t="shared" si="11"/>
        <v>0</v>
      </c>
      <c r="L90" s="312">
        <f t="shared" si="11"/>
        <v>0</v>
      </c>
      <c r="M90" s="510">
        <f t="shared" si="11"/>
        <v>0</v>
      </c>
      <c r="N90" s="599"/>
      <c r="O90" s="103"/>
      <c r="P90" s="103"/>
      <c r="Q90" s="103"/>
      <c r="R90" s="329"/>
      <c r="S90" s="329"/>
      <c r="T90" s="52"/>
      <c r="U90" s="60"/>
      <c r="V90" s="60"/>
      <c r="W90" s="60"/>
      <c r="X90" s="60"/>
      <c r="Y90" s="60"/>
      <c r="Z90" s="60"/>
      <c r="AA90" s="60"/>
      <c r="AB90" s="60"/>
      <c r="AC90" s="60"/>
      <c r="AD90" s="60"/>
      <c r="AE90" s="60"/>
      <c r="AF90" s="60"/>
      <c r="AG90" s="60"/>
      <c r="AH90" s="60"/>
      <c r="AI90" s="60"/>
      <c r="AJ90" s="60"/>
      <c r="AK90" s="60"/>
      <c r="AL90" s="60"/>
      <c r="AM90" s="60"/>
      <c r="AN90" s="60"/>
    </row>
    <row r="91" spans="1:40" ht="18" customHeight="1" x14ac:dyDescent="0.25">
      <c r="A91" s="103"/>
      <c r="B91" s="125"/>
      <c r="C91" s="50"/>
      <c r="D91" s="69"/>
      <c r="E91" s="69"/>
      <c r="F91" s="64"/>
      <c r="G91" s="64"/>
      <c r="H91" s="64"/>
      <c r="I91" s="64"/>
      <c r="J91" s="159"/>
      <c r="K91" s="159"/>
      <c r="L91" s="159"/>
      <c r="M91" s="159"/>
      <c r="N91" s="127"/>
      <c r="O91" s="103"/>
      <c r="P91" s="103"/>
      <c r="Q91" s="103"/>
      <c r="R91" s="329"/>
      <c r="S91" s="329"/>
      <c r="T91" s="52"/>
      <c r="U91" s="60"/>
      <c r="V91" s="60"/>
      <c r="W91" s="60"/>
      <c r="X91" s="60"/>
      <c r="Y91" s="60"/>
      <c r="Z91" s="60"/>
      <c r="AA91" s="60"/>
      <c r="AB91" s="60"/>
      <c r="AC91" s="60"/>
      <c r="AD91" s="60"/>
      <c r="AE91" s="60"/>
      <c r="AF91" s="60"/>
      <c r="AG91" s="60"/>
      <c r="AH91" s="60"/>
      <c r="AI91" s="60"/>
      <c r="AJ91" s="60"/>
      <c r="AK91" s="60"/>
      <c r="AL91" s="60"/>
      <c r="AM91" s="60"/>
      <c r="AN91" s="60"/>
    </row>
    <row r="92" spans="1:40" ht="18" hidden="1" customHeight="1" thickBot="1" x14ac:dyDescent="0.3">
      <c r="A92" s="103"/>
      <c r="B92" s="125"/>
      <c r="C92" s="50"/>
      <c r="D92" s="69"/>
      <c r="E92" s="69"/>
      <c r="F92" s="64" t="s">
        <v>158</v>
      </c>
      <c r="G92" s="64"/>
      <c r="H92" s="64"/>
      <c r="I92" s="64"/>
      <c r="J92" s="159"/>
      <c r="K92" s="159"/>
      <c r="L92" s="159"/>
      <c r="M92" s="159"/>
      <c r="N92" s="127"/>
      <c r="O92" s="103"/>
      <c r="P92" s="103"/>
      <c r="Q92" s="103"/>
      <c r="R92" s="329"/>
      <c r="S92" s="329"/>
      <c r="T92" s="52"/>
      <c r="U92" s="60"/>
      <c r="V92" s="60"/>
      <c r="W92" s="60"/>
      <c r="X92" s="60"/>
      <c r="Y92" s="60"/>
      <c r="Z92" s="60"/>
      <c r="AA92" s="60"/>
      <c r="AB92" s="60"/>
      <c r="AC92" s="60"/>
      <c r="AD92" s="60"/>
      <c r="AE92" s="60"/>
      <c r="AF92" s="60"/>
      <c r="AG92" s="60"/>
      <c r="AH92" s="60"/>
      <c r="AI92" s="60"/>
      <c r="AJ92" s="60"/>
      <c r="AK92" s="60"/>
      <c r="AL92" s="60"/>
      <c r="AM92" s="60"/>
      <c r="AN92" s="60"/>
    </row>
    <row r="93" spans="1:40" ht="15.75" hidden="1" customHeight="1" thickBot="1" x14ac:dyDescent="0.3">
      <c r="A93" s="103"/>
      <c r="B93" s="125" t="s">
        <v>189</v>
      </c>
      <c r="C93" s="50"/>
      <c r="D93" s="69"/>
      <c r="E93" s="69"/>
      <c r="F93" s="288" t="s">
        <v>168</v>
      </c>
      <c r="G93" s="289" t="s">
        <v>6</v>
      </c>
      <c r="H93" s="289"/>
      <c r="I93" s="289"/>
      <c r="J93" s="290">
        <v>382</v>
      </c>
      <c r="K93" s="290">
        <v>382</v>
      </c>
      <c r="L93" s="290">
        <v>382</v>
      </c>
      <c r="M93" s="291">
        <v>382</v>
      </c>
      <c r="N93" s="127"/>
      <c r="O93" s="103"/>
      <c r="P93" s="103"/>
      <c r="Q93" s="103"/>
      <c r="R93" s="329"/>
      <c r="S93" s="329"/>
      <c r="T93" s="52"/>
      <c r="U93" s="60"/>
      <c r="V93" s="60"/>
      <c r="W93" s="60"/>
      <c r="X93" s="60"/>
      <c r="Y93" s="60"/>
      <c r="Z93" s="60"/>
      <c r="AA93" s="60"/>
      <c r="AB93" s="60"/>
      <c r="AC93" s="60"/>
      <c r="AD93" s="60"/>
      <c r="AE93" s="60"/>
      <c r="AF93" s="60"/>
      <c r="AG93" s="60"/>
      <c r="AH93" s="60"/>
      <c r="AI93" s="60"/>
      <c r="AJ93" s="60"/>
      <c r="AK93" s="60"/>
      <c r="AL93" s="60"/>
      <c r="AM93" s="60"/>
      <c r="AN93" s="60"/>
    </row>
    <row r="94" spans="1:40" ht="15.75" hidden="1" customHeight="1" thickBot="1" x14ac:dyDescent="0.3">
      <c r="A94" s="103"/>
      <c r="B94" s="248">
        <f>MAX(0,Betriebsdaten!J32-D94-IF(Betriebsdaten!E10-((Rechner!D28+4%)*Betriebsdaten!E10)-Rechner!D44-Rechner!D45&lt;Betriebsdaten!J32,Betriebsdaten!J32-(Betriebsdaten!E10-((Rechner!D28+4%)*Betriebsdaten!E10)-Rechner!D44-Rechner!D45),0))</f>
        <v>0</v>
      </c>
      <c r="C94" s="300" t="s">
        <v>89</v>
      </c>
      <c r="D94" s="273"/>
      <c r="E94" s="54" t="str">
        <f>IF(D94&gt;0,IF(AND(Betriebsdaten!E10-((Rechner!D28+4%)*Betriebsdaten!E10)-Rechner!D44-Rechner!D45-D94&gt;=0,Betriebsdaten!J32-Rechner!D94&gt;=0),TRUE,FALSE),"-")</f>
        <v>-</v>
      </c>
      <c r="F94" s="298" t="s">
        <v>164</v>
      </c>
      <c r="G94" s="280" t="s">
        <v>7</v>
      </c>
      <c r="H94" s="281"/>
      <c r="I94" s="281"/>
      <c r="J94" s="281">
        <f>IF($E94=TRUE,J93*$D94,0)</f>
        <v>0</v>
      </c>
      <c r="K94" s="281">
        <f t="shared" ref="K94:M94" si="12">IF($E94=TRUE,K93*$D94,0)</f>
        <v>0</v>
      </c>
      <c r="L94" s="281">
        <f t="shared" si="12"/>
        <v>0</v>
      </c>
      <c r="M94" s="282">
        <f t="shared" si="12"/>
        <v>0</v>
      </c>
      <c r="N94" s="127"/>
      <c r="O94" s="103"/>
      <c r="P94" s="103"/>
      <c r="Q94" s="103"/>
      <c r="R94" s="329"/>
      <c r="S94" s="329"/>
      <c r="T94" s="52"/>
      <c r="U94" s="60"/>
      <c r="V94" s="60"/>
      <c r="W94" s="60"/>
      <c r="X94" s="60"/>
      <c r="Y94" s="60"/>
      <c r="Z94" s="60"/>
      <c r="AA94" s="60"/>
      <c r="AB94" s="60"/>
      <c r="AC94" s="60"/>
      <c r="AD94" s="60"/>
      <c r="AE94" s="60"/>
      <c r="AF94" s="60"/>
      <c r="AG94" s="60"/>
      <c r="AH94" s="60"/>
      <c r="AI94" s="60"/>
      <c r="AJ94" s="60"/>
      <c r="AK94" s="60"/>
      <c r="AL94" s="60"/>
      <c r="AM94" s="60"/>
      <c r="AN94" s="60"/>
    </row>
    <row r="95" spans="1:40" ht="15.75" hidden="1" customHeight="1" thickBot="1" x14ac:dyDescent="0.3">
      <c r="A95" s="103"/>
      <c r="B95" s="125"/>
      <c r="C95" s="301"/>
      <c r="D95" s="69"/>
      <c r="E95" s="69"/>
      <c r="F95" s="292" t="s">
        <v>167</v>
      </c>
      <c r="G95" s="293" t="s">
        <v>6</v>
      </c>
      <c r="H95" s="293"/>
      <c r="I95" s="293"/>
      <c r="J95" s="294">
        <v>1527</v>
      </c>
      <c r="K95" s="294">
        <v>1527</v>
      </c>
      <c r="L95" s="294">
        <v>1527</v>
      </c>
      <c r="M95" s="295">
        <v>1527</v>
      </c>
      <c r="N95" s="127"/>
      <c r="O95" s="103"/>
      <c r="P95" s="103"/>
      <c r="Q95" s="103"/>
      <c r="R95" s="329"/>
      <c r="S95" s="329"/>
      <c r="T95" s="52"/>
      <c r="U95" s="60"/>
      <c r="V95" s="60"/>
      <c r="W95" s="60"/>
      <c r="X95" s="60"/>
      <c r="Y95" s="60"/>
      <c r="Z95" s="60"/>
      <c r="AA95" s="60"/>
      <c r="AB95" s="60"/>
      <c r="AC95" s="60"/>
      <c r="AD95" s="60"/>
      <c r="AE95" s="60"/>
      <c r="AF95" s="60"/>
      <c r="AG95" s="60"/>
      <c r="AH95" s="60"/>
      <c r="AI95" s="60"/>
      <c r="AJ95" s="60"/>
      <c r="AK95" s="60"/>
      <c r="AL95" s="60"/>
      <c r="AM95" s="60"/>
      <c r="AN95" s="60"/>
    </row>
    <row r="96" spans="1:40" ht="15.75" hidden="1" customHeight="1" thickBot="1" x14ac:dyDescent="0.3">
      <c r="A96" s="103"/>
      <c r="B96" s="248">
        <f>MAX(0,Betriebsdaten!J33-D32-D96)</f>
        <v>0</v>
      </c>
      <c r="C96" s="300" t="s">
        <v>89</v>
      </c>
      <c r="D96" s="273"/>
      <c r="E96" s="82" t="str">
        <f>IF(D96&gt;0,IF(Betriebsdaten!J33-D32-D96&gt;=0,TRUE,FALSE),"-")</f>
        <v>-</v>
      </c>
      <c r="F96" s="299" t="s">
        <v>165</v>
      </c>
      <c r="G96" s="285" t="s">
        <v>7</v>
      </c>
      <c r="H96" s="286"/>
      <c r="I96" s="286"/>
      <c r="J96" s="286">
        <f>IF($E96=TRUE,J95*$D96,0)</f>
        <v>0</v>
      </c>
      <c r="K96" s="286">
        <f t="shared" ref="K96:M96" si="13">IF($E96=TRUE,K95*$D96,0)</f>
        <v>0</v>
      </c>
      <c r="L96" s="286">
        <f t="shared" si="13"/>
        <v>0</v>
      </c>
      <c r="M96" s="287">
        <f t="shared" si="13"/>
        <v>0</v>
      </c>
      <c r="N96" s="127"/>
      <c r="O96" s="103"/>
      <c r="P96" s="103"/>
      <c r="Q96" s="103"/>
      <c r="R96" s="329"/>
      <c r="S96" s="329"/>
      <c r="T96" s="52"/>
      <c r="U96" s="60"/>
      <c r="V96" s="60"/>
      <c r="W96" s="60"/>
      <c r="X96" s="60"/>
      <c r="Y96" s="60"/>
      <c r="Z96" s="60"/>
      <c r="AA96" s="60"/>
      <c r="AB96" s="60"/>
      <c r="AC96" s="60"/>
      <c r="AD96" s="60"/>
      <c r="AE96" s="60"/>
      <c r="AF96" s="60"/>
      <c r="AG96" s="60"/>
      <c r="AH96" s="60"/>
      <c r="AI96" s="60"/>
      <c r="AJ96" s="60"/>
      <c r="AK96" s="60"/>
      <c r="AL96" s="60"/>
      <c r="AM96" s="60"/>
      <c r="AN96" s="60"/>
    </row>
    <row r="97" spans="1:40" ht="15.75" hidden="1" customHeight="1" thickBot="1" x14ac:dyDescent="0.3">
      <c r="A97" s="103"/>
      <c r="B97" s="125"/>
      <c r="C97" s="50"/>
      <c r="D97" s="69"/>
      <c r="E97" s="69"/>
      <c r="F97" s="274" t="s">
        <v>159</v>
      </c>
      <c r="G97" s="275" t="s">
        <v>7</v>
      </c>
      <c r="H97" s="276">
        <f>H94+H96</f>
        <v>0</v>
      </c>
      <c r="I97" s="276">
        <f t="shared" ref="I97:M97" si="14">I94+I96</f>
        <v>0</v>
      </c>
      <c r="J97" s="276">
        <f t="shared" si="14"/>
        <v>0</v>
      </c>
      <c r="K97" s="276">
        <f t="shared" si="14"/>
        <v>0</v>
      </c>
      <c r="L97" s="276">
        <f t="shared" si="14"/>
        <v>0</v>
      </c>
      <c r="M97" s="277">
        <f t="shared" si="14"/>
        <v>0</v>
      </c>
      <c r="N97" s="127"/>
      <c r="O97" s="103"/>
      <c r="P97" s="103"/>
      <c r="Q97" s="103"/>
      <c r="R97" s="329"/>
      <c r="S97" s="329"/>
      <c r="T97" s="52"/>
      <c r="U97" s="60"/>
      <c r="V97" s="60"/>
      <c r="W97" s="60"/>
      <c r="X97" s="60"/>
      <c r="Y97" s="60"/>
      <c r="Z97" s="60"/>
      <c r="AA97" s="60"/>
      <c r="AB97" s="60"/>
      <c r="AC97" s="60"/>
      <c r="AD97" s="60"/>
      <c r="AE97" s="60"/>
      <c r="AF97" s="60"/>
      <c r="AG97" s="60"/>
      <c r="AH97" s="60"/>
      <c r="AI97" s="60"/>
      <c r="AJ97" s="60"/>
      <c r="AK97" s="60"/>
      <c r="AL97" s="60"/>
      <c r="AM97" s="60"/>
      <c r="AN97" s="60"/>
    </row>
    <row r="98" spans="1:40" ht="18" customHeight="1" thickBot="1" x14ac:dyDescent="0.3">
      <c r="A98" s="103"/>
      <c r="B98" s="125"/>
      <c r="C98" s="50"/>
      <c r="D98" s="69"/>
      <c r="E98" s="69"/>
      <c r="F98" s="64"/>
      <c r="G98" s="64"/>
      <c r="H98" s="64"/>
      <c r="I98" s="64"/>
      <c r="J98" s="159"/>
      <c r="K98" s="159"/>
      <c r="L98" s="159"/>
      <c r="M98" s="159"/>
      <c r="N98" s="127"/>
      <c r="O98" s="103"/>
      <c r="P98" s="103"/>
      <c r="Q98" s="103"/>
      <c r="R98" s="329"/>
      <c r="S98" s="329"/>
      <c r="T98" s="52"/>
      <c r="U98" s="60"/>
      <c r="V98" s="60"/>
      <c r="W98" s="60"/>
      <c r="X98" s="60"/>
      <c r="Y98" s="60"/>
      <c r="Z98" s="60"/>
      <c r="AA98" s="60"/>
      <c r="AB98" s="60"/>
      <c r="AC98" s="60"/>
      <c r="AD98" s="60"/>
      <c r="AE98" s="60"/>
      <c r="AF98" s="60"/>
      <c r="AG98" s="60"/>
      <c r="AH98" s="60"/>
      <c r="AI98" s="60"/>
      <c r="AJ98" s="60"/>
      <c r="AK98" s="60"/>
      <c r="AL98" s="60"/>
      <c r="AM98" s="60"/>
      <c r="AN98" s="60"/>
    </row>
    <row r="99" spans="1:40" ht="15.75" customHeight="1" x14ac:dyDescent="0.25">
      <c r="A99" s="103"/>
      <c r="B99" s="125"/>
      <c r="C99" s="50"/>
      <c r="D99" s="69"/>
      <c r="E99" s="69"/>
      <c r="F99" s="595" t="s">
        <v>236</v>
      </c>
      <c r="G99" s="325" t="s">
        <v>7</v>
      </c>
      <c r="H99" s="376"/>
      <c r="I99" s="377"/>
      <c r="J99" s="159"/>
      <c r="K99" s="159"/>
      <c r="L99" s="159"/>
      <c r="M99" s="159"/>
      <c r="N99" s="127"/>
      <c r="O99" s="103"/>
      <c r="P99" s="103"/>
      <c r="Q99" s="103"/>
      <c r="R99" s="329"/>
      <c r="S99" s="329"/>
      <c r="T99" s="52"/>
      <c r="U99" s="60"/>
      <c r="V99" s="60"/>
      <c r="W99" s="60"/>
      <c r="X99" s="60"/>
      <c r="Y99" s="60"/>
      <c r="Z99" s="60"/>
      <c r="AA99" s="60"/>
      <c r="AB99" s="60"/>
      <c r="AC99" s="60"/>
      <c r="AD99" s="60"/>
      <c r="AE99" s="60"/>
      <c r="AF99" s="60"/>
      <c r="AG99" s="60"/>
      <c r="AH99" s="60"/>
      <c r="AI99" s="60"/>
      <c r="AJ99" s="60"/>
      <c r="AK99" s="60"/>
      <c r="AL99" s="60"/>
      <c r="AM99" s="60"/>
      <c r="AN99" s="60"/>
    </row>
    <row r="100" spans="1:40" ht="15.75" customHeight="1" thickBot="1" x14ac:dyDescent="0.3">
      <c r="A100" s="103"/>
      <c r="B100" s="125"/>
      <c r="C100" s="50"/>
      <c r="D100" s="69"/>
      <c r="E100" s="69"/>
      <c r="F100" s="596"/>
      <c r="G100" s="326" t="s">
        <v>6</v>
      </c>
      <c r="H100" s="327" t="str">
        <f>IF(Betriebsdaten!E9&gt;0,H99/Betriebsdaten!E9,"-")</f>
        <v>-</v>
      </c>
      <c r="I100" s="328" t="str">
        <f>IF(Betriebsdaten!E9&gt;0,I99/Betriebsdaten!E9,"-")</f>
        <v>-</v>
      </c>
      <c r="J100" s="159"/>
      <c r="K100" s="159"/>
      <c r="L100" s="159"/>
      <c r="M100" s="159"/>
      <c r="N100" s="127"/>
      <c r="O100" s="103"/>
      <c r="P100" s="103"/>
      <c r="Q100" s="103"/>
      <c r="R100" s="329"/>
      <c r="S100" s="329"/>
      <c r="T100" s="52"/>
      <c r="U100" s="60"/>
      <c r="V100" s="60"/>
      <c r="W100" s="60"/>
      <c r="X100" s="60"/>
      <c r="Y100" s="60"/>
      <c r="Z100" s="60"/>
      <c r="AA100" s="60"/>
      <c r="AB100" s="60"/>
      <c r="AC100" s="60"/>
      <c r="AD100" s="60"/>
      <c r="AE100" s="60"/>
      <c r="AF100" s="60"/>
      <c r="AG100" s="60"/>
      <c r="AH100" s="60"/>
      <c r="AI100" s="60"/>
      <c r="AJ100" s="60"/>
      <c r="AK100" s="60"/>
      <c r="AL100" s="60"/>
      <c r="AM100" s="60"/>
      <c r="AN100" s="60"/>
    </row>
    <row r="101" spans="1:40" ht="18" customHeight="1" x14ac:dyDescent="0.25">
      <c r="A101" s="103"/>
      <c r="B101" s="125"/>
      <c r="C101" s="50"/>
      <c r="D101" s="69"/>
      <c r="E101" s="69"/>
      <c r="F101" s="64"/>
      <c r="G101" s="64"/>
      <c r="H101" s="64"/>
      <c r="I101" s="64"/>
      <c r="J101" s="159"/>
      <c r="K101" s="159"/>
      <c r="L101" s="159"/>
      <c r="M101" s="159"/>
      <c r="N101" s="127"/>
      <c r="O101" s="103"/>
      <c r="P101" s="103"/>
      <c r="Q101" s="103"/>
      <c r="R101" s="329"/>
      <c r="S101" s="329"/>
      <c r="T101" s="52"/>
      <c r="U101" s="60"/>
      <c r="V101" s="60"/>
      <c r="W101" s="60"/>
      <c r="X101" s="60"/>
      <c r="Y101" s="60"/>
      <c r="Z101" s="60"/>
      <c r="AA101" s="60"/>
      <c r="AB101" s="60"/>
      <c r="AC101" s="60"/>
      <c r="AD101" s="60"/>
      <c r="AE101" s="60"/>
      <c r="AF101" s="60"/>
      <c r="AG101" s="60"/>
      <c r="AH101" s="60"/>
      <c r="AI101" s="60"/>
      <c r="AJ101" s="60"/>
      <c r="AK101" s="60"/>
      <c r="AL101" s="60"/>
      <c r="AM101" s="60"/>
      <c r="AN101" s="60"/>
    </row>
    <row r="102" spans="1:40" s="63" customFormat="1" ht="18" customHeight="1" thickBot="1" x14ac:dyDescent="0.3">
      <c r="A102" s="114"/>
      <c r="B102" s="125"/>
      <c r="E102" s="69"/>
      <c r="F102" s="64"/>
      <c r="G102" s="64"/>
      <c r="H102" s="64"/>
      <c r="I102" s="64"/>
      <c r="J102" s="159"/>
      <c r="K102" s="159"/>
      <c r="L102" s="159"/>
      <c r="M102" s="159"/>
      <c r="N102" s="127"/>
      <c r="O102" s="114"/>
      <c r="P102" s="114"/>
      <c r="Q102" s="114"/>
      <c r="R102" s="334"/>
      <c r="S102" s="334"/>
      <c r="T102" s="69"/>
      <c r="U102" s="73"/>
      <c r="V102" s="73"/>
      <c r="W102" s="73"/>
      <c r="X102" s="73"/>
      <c r="Y102" s="73"/>
      <c r="Z102" s="73"/>
      <c r="AA102" s="73"/>
      <c r="AB102" s="73"/>
      <c r="AC102" s="73"/>
      <c r="AD102" s="73"/>
      <c r="AE102" s="73"/>
      <c r="AF102" s="73"/>
      <c r="AG102" s="73"/>
      <c r="AH102" s="73"/>
      <c r="AI102" s="73"/>
      <c r="AJ102" s="73"/>
      <c r="AK102" s="73"/>
      <c r="AL102" s="73"/>
      <c r="AM102" s="73"/>
      <c r="AN102" s="73"/>
    </row>
    <row r="103" spans="1:40" ht="15.75" thickBot="1" x14ac:dyDescent="0.3">
      <c r="A103" s="103"/>
      <c r="B103" s="125"/>
      <c r="C103" s="50"/>
      <c r="D103" s="69"/>
      <c r="E103" s="69"/>
      <c r="F103" s="198"/>
      <c r="G103" s="199" t="s">
        <v>41</v>
      </c>
      <c r="H103" s="199">
        <v>2021</v>
      </c>
      <c r="I103" s="199">
        <v>2022</v>
      </c>
      <c r="J103" s="199">
        <v>2023</v>
      </c>
      <c r="K103" s="199">
        <v>2024</v>
      </c>
      <c r="L103" s="199">
        <v>2025</v>
      </c>
      <c r="M103" s="200">
        <v>2026</v>
      </c>
      <c r="N103" s="127"/>
      <c r="O103" s="103"/>
      <c r="P103" s="103"/>
      <c r="Q103" s="103"/>
      <c r="R103" s="329"/>
      <c r="S103" s="329"/>
      <c r="T103" s="52"/>
      <c r="U103" s="60"/>
      <c r="V103" s="60"/>
      <c r="W103" s="60"/>
      <c r="X103" s="60"/>
      <c r="Y103" s="60"/>
      <c r="Z103" s="60"/>
      <c r="AA103" s="60"/>
      <c r="AB103" s="60"/>
      <c r="AC103" s="60"/>
      <c r="AD103" s="60"/>
      <c r="AE103" s="60"/>
      <c r="AF103" s="60"/>
      <c r="AG103" s="60"/>
      <c r="AH103" s="60"/>
      <c r="AI103" s="60"/>
      <c r="AJ103" s="60"/>
      <c r="AK103" s="60"/>
      <c r="AL103" s="60"/>
      <c r="AM103" s="60"/>
      <c r="AN103" s="60"/>
    </row>
    <row r="104" spans="1:40" x14ac:dyDescent="0.25">
      <c r="A104" s="103"/>
      <c r="B104" s="125"/>
      <c r="C104" s="50"/>
      <c r="D104" s="69"/>
      <c r="E104" s="69"/>
      <c r="F104" s="39" t="s">
        <v>353</v>
      </c>
      <c r="G104" s="37" t="s">
        <v>7</v>
      </c>
      <c r="H104" s="155">
        <f t="shared" ref="H104:M104" si="15">H22+H17+H48+H24</f>
        <v>0</v>
      </c>
      <c r="I104" s="155">
        <f t="shared" si="15"/>
        <v>0</v>
      </c>
      <c r="J104" s="155">
        <f t="shared" si="15"/>
        <v>0</v>
      </c>
      <c r="K104" s="155">
        <f t="shared" si="15"/>
        <v>0</v>
      </c>
      <c r="L104" s="155">
        <f t="shared" si="15"/>
        <v>0</v>
      </c>
      <c r="M104" s="156">
        <f t="shared" si="15"/>
        <v>0</v>
      </c>
      <c r="N104" s="127"/>
      <c r="O104" s="103"/>
      <c r="P104" s="103"/>
      <c r="Q104" s="103"/>
      <c r="R104" s="329"/>
      <c r="S104" s="329"/>
      <c r="T104" s="52"/>
      <c r="U104" s="60"/>
      <c r="V104" s="60"/>
      <c r="W104" s="60"/>
      <c r="X104" s="60"/>
      <c r="Y104" s="60"/>
      <c r="Z104" s="60"/>
      <c r="AA104" s="60"/>
      <c r="AB104" s="60"/>
      <c r="AC104" s="60"/>
      <c r="AD104" s="60"/>
      <c r="AE104" s="60"/>
      <c r="AF104" s="60"/>
      <c r="AG104" s="60"/>
      <c r="AH104" s="60"/>
      <c r="AI104" s="60"/>
      <c r="AJ104" s="60"/>
      <c r="AK104" s="60"/>
      <c r="AL104" s="60"/>
      <c r="AM104" s="60"/>
      <c r="AN104" s="60"/>
    </row>
    <row r="105" spans="1:40" ht="15.75" thickBot="1" x14ac:dyDescent="0.3">
      <c r="A105" s="103"/>
      <c r="B105" s="125"/>
      <c r="C105" s="50"/>
      <c r="D105" s="69"/>
      <c r="E105" s="69"/>
      <c r="F105" s="36" t="s">
        <v>355</v>
      </c>
      <c r="G105" s="38" t="s">
        <v>6</v>
      </c>
      <c r="H105" s="157">
        <f t="shared" ref="H105:M105" si="16">IF(H104&gt;0,AG40,0)</f>
        <v>0</v>
      </c>
      <c r="I105" s="157">
        <f t="shared" si="16"/>
        <v>0</v>
      </c>
      <c r="J105" s="157">
        <f t="shared" si="16"/>
        <v>0</v>
      </c>
      <c r="K105" s="157">
        <f t="shared" si="16"/>
        <v>0</v>
      </c>
      <c r="L105" s="157">
        <f t="shared" si="16"/>
        <v>0</v>
      </c>
      <c r="M105" s="158">
        <f t="shared" si="16"/>
        <v>0</v>
      </c>
      <c r="N105" s="127"/>
      <c r="O105" s="103"/>
      <c r="P105" s="103"/>
      <c r="Q105" s="103"/>
      <c r="R105" s="329"/>
      <c r="S105" s="329"/>
      <c r="T105" s="52"/>
      <c r="U105" s="60"/>
      <c r="V105" s="60"/>
      <c r="W105" s="60"/>
      <c r="X105" s="60"/>
      <c r="Y105" s="60"/>
      <c r="Z105" s="60"/>
      <c r="AA105" s="60"/>
      <c r="AB105" s="60"/>
      <c r="AC105" s="60"/>
      <c r="AD105" s="60"/>
      <c r="AE105" s="60"/>
      <c r="AF105" s="60"/>
      <c r="AG105" s="60"/>
      <c r="AH105" s="60"/>
      <c r="AI105" s="60"/>
      <c r="AJ105" s="60"/>
      <c r="AK105" s="60"/>
      <c r="AL105" s="60"/>
      <c r="AM105" s="60"/>
      <c r="AN105" s="60"/>
    </row>
    <row r="106" spans="1:40" x14ac:dyDescent="0.25">
      <c r="A106" s="103"/>
      <c r="B106" s="125"/>
      <c r="C106" s="252"/>
      <c r="D106" s="63"/>
      <c r="E106" s="69"/>
      <c r="F106" s="39" t="s">
        <v>354</v>
      </c>
      <c r="G106" s="37" t="s">
        <v>7</v>
      </c>
      <c r="H106" s="155">
        <f>H22+H17+H24+H99</f>
        <v>0</v>
      </c>
      <c r="I106" s="155">
        <f>I22+I17+I24+I99</f>
        <v>0</v>
      </c>
      <c r="J106" s="155">
        <f>J22+J17+J48+J66+J78+J24+J90+J97</f>
        <v>0</v>
      </c>
      <c r="K106" s="155">
        <f>K22+K17+K48+K66+K78+K24+K90+K97</f>
        <v>0</v>
      </c>
      <c r="L106" s="155">
        <f>L22+L17+L48+L66+L78+L24+L90+L97</f>
        <v>0</v>
      </c>
      <c r="M106" s="156">
        <f>M22+M17+M48+M66+M78+M24+M90+M97</f>
        <v>0</v>
      </c>
      <c r="N106" s="127"/>
      <c r="O106" s="103"/>
      <c r="P106" s="103"/>
      <c r="Q106" s="103"/>
      <c r="R106" s="103"/>
      <c r="S106" s="329"/>
      <c r="T106" s="52"/>
      <c r="U106" s="60"/>
      <c r="V106" s="60"/>
      <c r="W106" s="60"/>
      <c r="X106" s="60"/>
      <c r="Y106" s="60"/>
      <c r="Z106" s="60"/>
      <c r="AA106" s="60"/>
      <c r="AB106" s="60"/>
      <c r="AC106" s="60"/>
      <c r="AD106" s="60"/>
      <c r="AE106" s="60"/>
      <c r="AF106" s="60"/>
      <c r="AG106" s="60"/>
      <c r="AH106" s="60"/>
      <c r="AI106" s="60"/>
      <c r="AJ106" s="60"/>
      <c r="AK106" s="60"/>
      <c r="AL106" s="60"/>
      <c r="AM106" s="60"/>
      <c r="AN106" s="60"/>
    </row>
    <row r="107" spans="1:40" ht="15.75" thickBot="1" x14ac:dyDescent="0.3">
      <c r="A107" s="103"/>
      <c r="B107" s="125"/>
      <c r="C107" s="50"/>
      <c r="D107" s="69"/>
      <c r="E107" s="69"/>
      <c r="F107" s="36" t="s">
        <v>356</v>
      </c>
      <c r="G107" s="38" t="s">
        <v>6</v>
      </c>
      <c r="H107" s="157">
        <f>IF(Betriebsdaten!E9&gt;0,IF(H106&gt;0,AG41,0),0)</f>
        <v>0</v>
      </c>
      <c r="I107" s="157">
        <f>IF(Betriebsdaten!E9&gt;0,IF(I106&gt;0,AH41,0),0)</f>
        <v>0</v>
      </c>
      <c r="J107" s="157">
        <f t="shared" ref="J107:M107" si="17">IF(J106&gt;0,AI41,0)</f>
        <v>0</v>
      </c>
      <c r="K107" s="157">
        <f t="shared" si="17"/>
        <v>0</v>
      </c>
      <c r="L107" s="157">
        <f t="shared" si="17"/>
        <v>0</v>
      </c>
      <c r="M107" s="158">
        <f t="shared" si="17"/>
        <v>0</v>
      </c>
      <c r="N107" s="127"/>
      <c r="O107" s="103"/>
      <c r="P107" s="103"/>
      <c r="Q107" s="103"/>
      <c r="R107" s="329"/>
      <c r="S107" s="329"/>
      <c r="T107" s="52"/>
      <c r="U107" s="60"/>
      <c r="V107" s="60"/>
      <c r="W107" s="60"/>
      <c r="X107" s="60"/>
      <c r="Y107" s="60"/>
      <c r="Z107" s="60"/>
      <c r="AA107" s="60"/>
      <c r="AB107" s="60"/>
      <c r="AC107" s="60"/>
      <c r="AD107" s="60"/>
      <c r="AE107" s="60"/>
      <c r="AF107" s="60"/>
      <c r="AG107" s="60"/>
      <c r="AH107" s="60"/>
      <c r="AI107" s="60"/>
      <c r="AJ107" s="60"/>
      <c r="AK107" s="60"/>
      <c r="AL107" s="60"/>
      <c r="AM107" s="60"/>
      <c r="AN107" s="60"/>
    </row>
    <row r="108" spans="1:40" ht="15.75" thickBot="1" x14ac:dyDescent="0.3">
      <c r="A108" s="103"/>
      <c r="B108" s="105"/>
      <c r="C108" s="131"/>
      <c r="D108" s="131"/>
      <c r="E108" s="131"/>
      <c r="F108" s="253"/>
      <c r="G108" s="253"/>
      <c r="H108" s="253"/>
      <c r="I108" s="253"/>
      <c r="J108" s="253"/>
      <c r="K108" s="253"/>
      <c r="L108" s="253"/>
      <c r="M108" s="253"/>
      <c r="N108" s="254"/>
      <c r="O108" s="232"/>
      <c r="P108" s="232"/>
      <c r="Q108" s="103"/>
      <c r="R108" s="329"/>
      <c r="S108" s="329"/>
      <c r="T108" s="52"/>
      <c r="U108" s="60"/>
      <c r="V108" s="60"/>
      <c r="W108" s="60"/>
      <c r="X108" s="60"/>
      <c r="Y108" s="60"/>
      <c r="Z108" s="60"/>
      <c r="AA108" s="60"/>
      <c r="AB108" s="60"/>
      <c r="AC108" s="60"/>
      <c r="AD108" s="60"/>
      <c r="AE108" s="60"/>
      <c r="AF108" s="60"/>
      <c r="AG108" s="60"/>
      <c r="AH108" s="60"/>
      <c r="AI108" s="60"/>
      <c r="AJ108" s="60"/>
      <c r="AK108" s="60"/>
      <c r="AL108" s="60"/>
      <c r="AM108" s="60"/>
      <c r="AN108" s="60"/>
    </row>
    <row r="109" spans="1:40" s="51" customFormat="1" ht="15.75" customHeight="1" thickTop="1" x14ac:dyDescent="0.25">
      <c r="A109" s="103"/>
      <c r="B109" s="103"/>
      <c r="C109" s="103"/>
      <c r="D109" s="103"/>
      <c r="E109" s="103"/>
      <c r="F109" s="232"/>
      <c r="G109" s="232"/>
      <c r="H109" s="232"/>
      <c r="I109" s="232"/>
      <c r="J109" s="232"/>
      <c r="K109" s="232"/>
      <c r="L109" s="232"/>
      <c r="M109" s="103"/>
      <c r="N109" s="232"/>
      <c r="O109" s="232"/>
      <c r="P109" s="232"/>
      <c r="Q109" s="329"/>
      <c r="R109" s="329"/>
      <c r="S109" s="329"/>
      <c r="T109" s="52"/>
      <c r="U109" s="60"/>
      <c r="V109" s="60"/>
      <c r="W109" s="60"/>
      <c r="X109" s="60"/>
      <c r="Y109" s="60"/>
      <c r="Z109" s="60"/>
      <c r="AA109" s="60"/>
      <c r="AB109" s="60"/>
      <c r="AC109" s="60"/>
      <c r="AD109" s="60"/>
      <c r="AE109" s="60"/>
      <c r="AF109" s="60"/>
      <c r="AG109" s="60"/>
      <c r="AH109" s="60"/>
      <c r="AI109" s="60"/>
      <c r="AJ109" s="60"/>
      <c r="AK109" s="60"/>
      <c r="AL109" s="60"/>
      <c r="AM109" s="60"/>
      <c r="AN109" s="60"/>
    </row>
    <row r="110" spans="1:40" s="51" customFormat="1" x14ac:dyDescent="0.25">
      <c r="A110" s="103"/>
      <c r="B110" s="103"/>
      <c r="C110" s="103"/>
      <c r="D110" s="103"/>
      <c r="E110" s="103"/>
      <c r="F110" s="232"/>
      <c r="G110" s="232"/>
      <c r="H110" s="232"/>
      <c r="I110" s="232"/>
      <c r="J110" s="232"/>
      <c r="K110" s="232"/>
      <c r="L110" s="232"/>
      <c r="M110" s="232"/>
      <c r="N110" s="233" t="s">
        <v>128</v>
      </c>
      <c r="O110" s="232"/>
      <c r="P110" s="232"/>
      <c r="Q110" s="329"/>
      <c r="R110" s="329"/>
      <c r="S110" s="329"/>
      <c r="T110" s="52"/>
      <c r="U110" s="60"/>
      <c r="V110" s="60"/>
      <c r="W110" s="60"/>
      <c r="X110" s="60"/>
      <c r="Y110" s="60"/>
      <c r="Z110" s="60"/>
      <c r="AA110" s="60"/>
      <c r="AB110" s="60"/>
      <c r="AC110" s="60"/>
      <c r="AD110" s="60"/>
      <c r="AE110" s="60"/>
      <c r="AF110" s="60"/>
      <c r="AG110" s="60"/>
      <c r="AH110" s="60"/>
      <c r="AI110" s="60"/>
      <c r="AJ110" s="60"/>
      <c r="AK110" s="60"/>
      <c r="AL110" s="60"/>
      <c r="AM110" s="60"/>
      <c r="AN110" s="60"/>
    </row>
    <row r="111" spans="1:40" s="51" customFormat="1" x14ac:dyDescent="0.25">
      <c r="A111" s="103"/>
      <c r="B111" s="103"/>
      <c r="C111" s="103"/>
      <c r="D111" s="103"/>
      <c r="E111" s="103"/>
      <c r="F111" s="103"/>
      <c r="G111" s="103"/>
      <c r="H111" s="103"/>
      <c r="I111" s="103"/>
      <c r="J111" s="103"/>
      <c r="K111" s="103"/>
      <c r="L111" s="103"/>
      <c r="M111" s="103"/>
      <c r="N111" s="232"/>
      <c r="O111" s="232"/>
      <c r="P111" s="232"/>
      <c r="Q111" s="329"/>
      <c r="R111" s="329"/>
      <c r="S111" s="329"/>
      <c r="T111" s="52"/>
      <c r="U111" s="60"/>
      <c r="V111" s="60"/>
      <c r="W111" s="60"/>
      <c r="X111" s="60"/>
      <c r="Y111" s="60"/>
      <c r="Z111" s="60"/>
      <c r="AA111" s="60"/>
      <c r="AB111" s="60"/>
      <c r="AC111" s="60"/>
      <c r="AD111" s="60"/>
      <c r="AE111" s="60"/>
      <c r="AF111" s="60"/>
      <c r="AG111" s="60"/>
      <c r="AH111" s="60"/>
      <c r="AI111" s="60"/>
      <c r="AJ111" s="60"/>
      <c r="AK111" s="60"/>
      <c r="AL111" s="60"/>
      <c r="AM111" s="60"/>
      <c r="AN111" s="60"/>
    </row>
    <row r="112" spans="1:40" s="51" customFormat="1" x14ac:dyDescent="0.25">
      <c r="A112" s="103"/>
      <c r="B112" s="103"/>
      <c r="C112" s="103"/>
      <c r="D112" s="103"/>
      <c r="E112" s="103"/>
      <c r="F112" s="103"/>
      <c r="G112" s="103"/>
      <c r="H112" s="103"/>
      <c r="I112" s="103"/>
      <c r="J112" s="103"/>
      <c r="K112" s="103"/>
      <c r="L112" s="103"/>
      <c r="M112" s="103"/>
      <c r="N112" s="232"/>
      <c r="O112" s="232"/>
      <c r="P112" s="232"/>
      <c r="Q112" s="329"/>
      <c r="R112" s="329"/>
      <c r="S112" s="329"/>
      <c r="T112" s="52"/>
      <c r="U112" s="60"/>
      <c r="V112" s="60"/>
      <c r="W112" s="60"/>
      <c r="X112" s="60"/>
      <c r="Y112" s="60"/>
      <c r="Z112" s="60"/>
      <c r="AA112" s="60"/>
    </row>
    <row r="113" spans="6:27" s="51" customFormat="1" x14ac:dyDescent="0.25">
      <c r="N113" s="53"/>
      <c r="O113" s="53"/>
      <c r="P113" s="53"/>
      <c r="Q113" s="52"/>
      <c r="R113" s="52"/>
      <c r="S113" s="52"/>
      <c r="T113" s="52"/>
      <c r="U113" s="60"/>
      <c r="V113" s="60"/>
      <c r="W113" s="60"/>
      <c r="X113" s="60"/>
      <c r="Y113" s="60"/>
      <c r="Z113" s="60"/>
      <c r="AA113" s="60"/>
    </row>
    <row r="114" spans="6:27" s="51" customFormat="1" x14ac:dyDescent="0.25">
      <c r="F114" s="53"/>
      <c r="G114" s="53"/>
      <c r="H114" s="53"/>
      <c r="I114" s="53"/>
      <c r="J114" s="53"/>
      <c r="K114" s="53"/>
      <c r="L114" s="53"/>
      <c r="M114" s="53"/>
      <c r="N114" s="53"/>
      <c r="O114" s="53"/>
      <c r="P114" s="53"/>
      <c r="Q114" s="52"/>
      <c r="R114" s="52"/>
      <c r="S114" s="52"/>
      <c r="T114" s="52"/>
      <c r="U114" s="60"/>
      <c r="V114" s="60"/>
      <c r="W114" s="60"/>
      <c r="X114" s="60"/>
      <c r="Y114" s="60"/>
      <c r="Z114" s="60"/>
      <c r="AA114" s="60"/>
    </row>
    <row r="115" spans="6:27" s="51" customFormat="1" x14ac:dyDescent="0.25">
      <c r="F115" s="53"/>
      <c r="G115" s="53"/>
      <c r="H115" s="53"/>
      <c r="I115" s="53"/>
      <c r="J115" s="53"/>
      <c r="K115" s="53"/>
      <c r="L115" s="53"/>
      <c r="M115" s="53"/>
      <c r="N115" s="53"/>
      <c r="O115" s="53"/>
      <c r="P115" s="53"/>
      <c r="Q115" s="52"/>
      <c r="R115" s="52"/>
      <c r="S115" s="52"/>
      <c r="T115" s="52"/>
      <c r="U115" s="60"/>
      <c r="V115" s="60"/>
      <c r="W115" s="60"/>
      <c r="X115" s="60"/>
      <c r="Y115" s="60"/>
      <c r="Z115" s="60"/>
      <c r="AA115" s="60"/>
    </row>
    <row r="116" spans="6:27" s="51" customFormat="1" x14ac:dyDescent="0.25">
      <c r="F116" s="53"/>
      <c r="G116" s="53"/>
      <c r="H116" s="53"/>
      <c r="I116" s="53"/>
      <c r="J116" s="53"/>
      <c r="K116" s="53"/>
      <c r="L116" s="53"/>
      <c r="M116" s="53"/>
      <c r="N116" s="53"/>
      <c r="O116" s="53"/>
      <c r="P116" s="53"/>
      <c r="Q116" s="52"/>
      <c r="R116" s="52"/>
      <c r="S116" s="52"/>
      <c r="T116" s="52"/>
      <c r="U116" s="60"/>
      <c r="V116" s="60"/>
      <c r="W116" s="60"/>
      <c r="X116" s="60"/>
      <c r="Y116" s="60"/>
      <c r="Z116" s="60"/>
      <c r="AA116" s="60"/>
    </row>
    <row r="117" spans="6:27" s="51" customFormat="1" x14ac:dyDescent="0.25">
      <c r="F117" s="53"/>
      <c r="G117" s="53"/>
      <c r="H117" s="53"/>
      <c r="I117" s="53"/>
      <c r="J117" s="53"/>
      <c r="K117" s="53"/>
      <c r="L117" s="53"/>
      <c r="M117" s="53"/>
      <c r="N117" s="53"/>
      <c r="O117" s="53"/>
      <c r="P117" s="53"/>
      <c r="Q117" s="52"/>
      <c r="R117" s="52"/>
      <c r="S117" s="52"/>
      <c r="T117" s="52"/>
      <c r="U117" s="60"/>
      <c r="V117" s="60"/>
      <c r="W117" s="60"/>
      <c r="X117" s="60"/>
      <c r="Y117" s="60"/>
      <c r="Z117" s="60"/>
      <c r="AA117" s="60"/>
    </row>
    <row r="118" spans="6:27" s="51" customFormat="1" x14ac:dyDescent="0.25">
      <c r="F118" s="53"/>
      <c r="G118" s="53"/>
      <c r="H118" s="53"/>
      <c r="I118" s="53"/>
      <c r="J118" s="53"/>
      <c r="K118" s="53"/>
      <c r="L118" s="53"/>
      <c r="M118" s="53"/>
      <c r="N118" s="53"/>
      <c r="O118" s="53"/>
      <c r="P118" s="53"/>
      <c r="Q118" s="53"/>
      <c r="R118" s="53"/>
      <c r="S118" s="53"/>
      <c r="T118" s="53"/>
    </row>
    <row r="119" spans="6:27" s="51" customFormat="1" x14ac:dyDescent="0.25">
      <c r="F119" s="53"/>
      <c r="G119" s="53"/>
      <c r="H119" s="53"/>
      <c r="I119" s="53"/>
      <c r="J119" s="53"/>
      <c r="K119" s="53"/>
      <c r="L119" s="53"/>
      <c r="M119" s="53"/>
      <c r="N119" s="53"/>
      <c r="O119" s="53"/>
      <c r="P119" s="53"/>
      <c r="Q119" s="53"/>
      <c r="R119" s="53"/>
      <c r="S119" s="53"/>
      <c r="T119" s="53"/>
    </row>
    <row r="120" spans="6:27" s="51" customFormat="1" x14ac:dyDescent="0.25">
      <c r="K120" s="53"/>
      <c r="L120" s="53"/>
      <c r="N120" s="53"/>
      <c r="O120" s="53"/>
      <c r="P120" s="53"/>
      <c r="Q120" s="53"/>
      <c r="R120" s="53"/>
      <c r="S120" s="53"/>
      <c r="T120" s="53"/>
    </row>
    <row r="121" spans="6:27" s="51" customFormat="1" x14ac:dyDescent="0.25">
      <c r="K121" s="53"/>
      <c r="L121" s="53"/>
      <c r="N121" s="53"/>
      <c r="O121" s="53"/>
      <c r="P121" s="53"/>
      <c r="Q121" s="53"/>
      <c r="R121" s="53"/>
      <c r="S121" s="53"/>
      <c r="T121" s="53"/>
    </row>
    <row r="122" spans="6:27" s="51" customFormat="1" x14ac:dyDescent="0.25">
      <c r="K122" s="53"/>
      <c r="L122" s="53"/>
      <c r="N122" s="53"/>
      <c r="O122" s="53"/>
      <c r="P122" s="53"/>
      <c r="Q122" s="53"/>
      <c r="R122" s="53"/>
      <c r="S122" s="53"/>
      <c r="T122" s="53"/>
    </row>
    <row r="123" spans="6:27" s="51" customFormat="1" x14ac:dyDescent="0.25">
      <c r="K123" s="53"/>
      <c r="L123" s="53"/>
      <c r="N123" s="53"/>
      <c r="O123" s="53"/>
      <c r="P123" s="53"/>
      <c r="Q123" s="53"/>
      <c r="R123" s="53"/>
      <c r="S123" s="53"/>
      <c r="T123" s="53"/>
    </row>
    <row r="124" spans="6:27" s="51" customFormat="1" x14ac:dyDescent="0.25">
      <c r="F124" s="53"/>
      <c r="G124" s="53"/>
      <c r="H124" s="53"/>
      <c r="I124" s="53"/>
      <c r="J124" s="53"/>
      <c r="K124" s="53"/>
      <c r="L124" s="53"/>
      <c r="N124" s="53"/>
      <c r="O124" s="53"/>
      <c r="P124" s="53"/>
      <c r="Q124" s="53"/>
      <c r="R124" s="53"/>
      <c r="S124" s="53"/>
      <c r="T124" s="53"/>
    </row>
    <row r="125" spans="6:27" s="51" customFormat="1" x14ac:dyDescent="0.25">
      <c r="F125" s="53"/>
      <c r="G125" s="53"/>
      <c r="H125" s="53"/>
      <c r="I125" s="53"/>
      <c r="J125" s="53"/>
      <c r="K125" s="53"/>
      <c r="L125" s="53"/>
      <c r="M125" s="53"/>
      <c r="N125" s="53"/>
      <c r="O125" s="53"/>
      <c r="P125" s="53"/>
      <c r="Q125" s="53"/>
      <c r="R125" s="53"/>
      <c r="S125" s="53"/>
      <c r="T125" s="53"/>
    </row>
    <row r="126" spans="6:27" s="51" customFormat="1" x14ac:dyDescent="0.25">
      <c r="F126" s="53"/>
      <c r="G126" s="53"/>
      <c r="H126" s="53"/>
      <c r="I126" s="53"/>
      <c r="J126" s="53"/>
      <c r="K126" s="53"/>
      <c r="L126" s="53"/>
      <c r="M126" s="53"/>
      <c r="N126" s="53"/>
      <c r="O126" s="53"/>
      <c r="P126" s="53"/>
      <c r="Q126" s="53"/>
      <c r="R126" s="53"/>
      <c r="S126" s="53"/>
      <c r="T126" s="53"/>
    </row>
    <row r="127" spans="6:27" s="51" customFormat="1" x14ac:dyDescent="0.25">
      <c r="F127" s="53"/>
      <c r="G127" s="53"/>
      <c r="H127" s="53"/>
      <c r="I127" s="53"/>
      <c r="J127" s="53"/>
      <c r="K127" s="53"/>
      <c r="L127" s="53"/>
      <c r="M127" s="53"/>
      <c r="N127" s="53"/>
      <c r="O127" s="53"/>
      <c r="P127" s="53"/>
      <c r="Q127" s="53"/>
      <c r="R127" s="53"/>
      <c r="S127" s="53"/>
      <c r="T127" s="53"/>
    </row>
    <row r="128" spans="6:27" s="51" customFormat="1" x14ac:dyDescent="0.25">
      <c r="F128" s="53"/>
      <c r="G128" s="53"/>
      <c r="H128" s="53"/>
      <c r="I128" s="53"/>
      <c r="J128" s="53"/>
      <c r="K128" s="53"/>
      <c r="L128" s="53"/>
      <c r="M128" s="53"/>
      <c r="N128" s="53"/>
      <c r="O128" s="53"/>
      <c r="P128" s="53"/>
      <c r="Q128" s="53"/>
      <c r="R128" s="53"/>
      <c r="S128" s="53"/>
      <c r="T128" s="53"/>
    </row>
    <row r="129" spans="6:20" s="51" customFormat="1" x14ac:dyDescent="0.25">
      <c r="F129" s="53"/>
      <c r="G129" s="53"/>
      <c r="H129" s="53"/>
      <c r="I129" s="53"/>
      <c r="J129" s="53"/>
      <c r="K129" s="53"/>
      <c r="L129" s="53"/>
      <c r="M129" s="53"/>
      <c r="N129" s="53"/>
      <c r="O129" s="53"/>
      <c r="P129" s="53"/>
      <c r="Q129" s="53"/>
      <c r="R129" s="53"/>
      <c r="S129" s="53"/>
      <c r="T129" s="53"/>
    </row>
    <row r="130" spans="6:20" s="51" customFormat="1" x14ac:dyDescent="0.25">
      <c r="F130" s="53"/>
      <c r="G130" s="53"/>
      <c r="H130" s="53"/>
      <c r="I130" s="53"/>
      <c r="J130" s="53"/>
      <c r="K130" s="53"/>
      <c r="L130" s="53"/>
      <c r="M130" s="53"/>
      <c r="N130" s="53"/>
      <c r="O130" s="53"/>
      <c r="P130" s="53"/>
      <c r="Q130" s="53"/>
      <c r="R130" s="53"/>
      <c r="S130" s="53"/>
      <c r="T130" s="53"/>
    </row>
    <row r="131" spans="6:20" s="51" customFormat="1" x14ac:dyDescent="0.25">
      <c r="F131" s="53"/>
      <c r="G131" s="53"/>
      <c r="H131" s="53"/>
      <c r="I131" s="53"/>
      <c r="J131" s="53"/>
      <c r="K131" s="53"/>
      <c r="L131" s="53"/>
      <c r="M131" s="53"/>
      <c r="N131" s="53"/>
      <c r="O131" s="53"/>
      <c r="P131" s="53"/>
      <c r="Q131" s="53"/>
      <c r="R131" s="53"/>
      <c r="S131" s="53"/>
      <c r="T131" s="53"/>
    </row>
    <row r="132" spans="6:20" s="51" customFormat="1" x14ac:dyDescent="0.25">
      <c r="F132" s="53"/>
      <c r="G132" s="53"/>
      <c r="H132" s="53"/>
      <c r="I132" s="53"/>
      <c r="J132" s="53"/>
      <c r="K132" s="53"/>
      <c r="L132" s="53"/>
      <c r="M132" s="53"/>
      <c r="N132" s="53"/>
      <c r="O132" s="53"/>
      <c r="P132" s="53"/>
      <c r="Q132" s="53"/>
      <c r="R132" s="53"/>
      <c r="S132" s="53"/>
      <c r="T132" s="53"/>
    </row>
    <row r="133" spans="6:20" s="51" customFormat="1" x14ac:dyDescent="0.25">
      <c r="F133" s="53"/>
      <c r="G133" s="53"/>
      <c r="H133" s="53"/>
      <c r="I133" s="53"/>
      <c r="J133" s="53"/>
      <c r="K133" s="53"/>
      <c r="L133" s="53"/>
      <c r="M133" s="53"/>
      <c r="N133" s="53"/>
      <c r="O133" s="53"/>
      <c r="P133" s="53"/>
      <c r="Q133" s="53"/>
      <c r="R133" s="53"/>
      <c r="S133" s="53"/>
      <c r="T133" s="53"/>
    </row>
    <row r="134" spans="6:20" s="51" customFormat="1" x14ac:dyDescent="0.25">
      <c r="F134" s="53"/>
      <c r="G134" s="53"/>
      <c r="H134" s="53"/>
      <c r="I134" s="53"/>
      <c r="J134" s="53"/>
      <c r="K134" s="53"/>
      <c r="L134" s="53"/>
      <c r="M134" s="53"/>
      <c r="N134" s="53"/>
      <c r="O134" s="53"/>
      <c r="P134" s="53"/>
      <c r="Q134" s="53"/>
      <c r="R134" s="53"/>
      <c r="S134" s="53"/>
      <c r="T134" s="53"/>
    </row>
    <row r="135" spans="6:20" s="51" customFormat="1" x14ac:dyDescent="0.25">
      <c r="L135" s="53"/>
      <c r="M135" s="53"/>
      <c r="N135" s="53"/>
      <c r="O135" s="53"/>
      <c r="P135" s="53"/>
      <c r="Q135" s="53"/>
      <c r="R135" s="53"/>
      <c r="S135" s="53"/>
      <c r="T135" s="53"/>
    </row>
    <row r="136" spans="6:20" s="51" customFormat="1" x14ac:dyDescent="0.25">
      <c r="L136" s="53"/>
      <c r="M136" s="53"/>
      <c r="N136" s="53"/>
      <c r="O136" s="53"/>
      <c r="P136" s="53"/>
      <c r="Q136" s="53"/>
      <c r="R136" s="53"/>
      <c r="S136" s="53"/>
      <c r="T136" s="53"/>
    </row>
    <row r="137" spans="6:20" s="51" customFormat="1" x14ac:dyDescent="0.25"/>
    <row r="138" spans="6:20" s="51" customFormat="1" x14ac:dyDescent="0.25"/>
    <row r="139" spans="6:20" s="51" customFormat="1" x14ac:dyDescent="0.25">
      <c r="M139" s="62"/>
      <c r="N139" s="62"/>
    </row>
    <row r="140" spans="6:20" s="51" customFormat="1" x14ac:dyDescent="0.25">
      <c r="G140" s="62"/>
      <c r="H140" s="62"/>
      <c r="I140" s="62"/>
      <c r="J140" s="62"/>
      <c r="K140" s="62"/>
      <c r="L140" s="62"/>
      <c r="M140" s="62"/>
      <c r="N140" s="62"/>
    </row>
    <row r="141" spans="6:20" s="51" customFormat="1" x14ac:dyDescent="0.25">
      <c r="G141" s="62"/>
      <c r="H141" s="62"/>
      <c r="I141" s="62"/>
      <c r="J141" s="62"/>
      <c r="K141" s="62"/>
      <c r="L141" s="62"/>
      <c r="M141" s="62"/>
      <c r="N141" s="62"/>
    </row>
    <row r="142" spans="6:20" s="51" customFormat="1" x14ac:dyDescent="0.25">
      <c r="G142" s="62"/>
      <c r="H142" s="62"/>
      <c r="I142" s="62"/>
      <c r="J142" s="62"/>
      <c r="K142" s="62"/>
      <c r="L142" s="62"/>
      <c r="M142" s="62"/>
      <c r="N142" s="62"/>
    </row>
    <row r="143" spans="6:20" s="51" customFormat="1" x14ac:dyDescent="0.25">
      <c r="G143" s="62"/>
      <c r="H143" s="62"/>
      <c r="I143" s="62"/>
      <c r="J143" s="62"/>
      <c r="K143" s="62"/>
      <c r="L143" s="62"/>
      <c r="M143" s="62"/>
      <c r="N143" s="62"/>
    </row>
    <row r="144" spans="6:20" s="51" customFormat="1" x14ac:dyDescent="0.25">
      <c r="G144" s="62"/>
      <c r="H144" s="62"/>
      <c r="I144" s="62"/>
      <c r="J144" s="62"/>
      <c r="K144" s="62"/>
      <c r="L144" s="62"/>
      <c r="M144" s="62"/>
      <c r="N144" s="62"/>
    </row>
    <row r="145" spans="7:14" s="51" customFormat="1" x14ac:dyDescent="0.25">
      <c r="G145" s="62"/>
      <c r="H145" s="62"/>
      <c r="I145" s="62"/>
      <c r="J145" s="62"/>
      <c r="K145" s="62"/>
      <c r="L145" s="62"/>
      <c r="M145" s="62"/>
      <c r="N145" s="62"/>
    </row>
    <row r="146" spans="7:14" s="51" customFormat="1" x14ac:dyDescent="0.25">
      <c r="G146" s="62"/>
      <c r="H146" s="62"/>
      <c r="I146" s="62"/>
      <c r="J146" s="62"/>
      <c r="K146" s="62"/>
      <c r="L146" s="62"/>
      <c r="M146" s="62"/>
      <c r="N146" s="62"/>
    </row>
    <row r="147" spans="7:14" s="51" customFormat="1" x14ac:dyDescent="0.25">
      <c r="G147" s="62"/>
      <c r="H147" s="62"/>
      <c r="I147" s="62"/>
      <c r="J147" s="62"/>
      <c r="K147" s="62"/>
      <c r="L147" s="62"/>
      <c r="M147" s="62"/>
      <c r="N147" s="62"/>
    </row>
    <row r="148" spans="7:14" s="51" customFormat="1" x14ac:dyDescent="0.25"/>
    <row r="149" spans="7:14" s="51" customFormat="1" x14ac:dyDescent="0.25"/>
    <row r="150" spans="7:14" s="51" customFormat="1" x14ac:dyDescent="0.25"/>
    <row r="151" spans="7:14" s="51" customFormat="1" x14ac:dyDescent="0.25"/>
    <row r="152" spans="7:14" s="51" customFormat="1" x14ac:dyDescent="0.25"/>
    <row r="153" spans="7:14" s="51" customFormat="1" x14ac:dyDescent="0.25"/>
    <row r="154" spans="7:14" s="51" customFormat="1" x14ac:dyDescent="0.25"/>
    <row r="155" spans="7:14" s="51" customFormat="1" x14ac:dyDescent="0.25"/>
    <row r="156" spans="7:14" s="51" customFormat="1" x14ac:dyDescent="0.25"/>
    <row r="157" spans="7:14" s="51" customFormat="1" x14ac:dyDescent="0.25"/>
    <row r="158" spans="7:14" s="51" customFormat="1" x14ac:dyDescent="0.25"/>
    <row r="159" spans="7:14" s="51" customFormat="1" x14ac:dyDescent="0.25"/>
    <row r="160" spans="7:14" s="51" customFormat="1" x14ac:dyDescent="0.25"/>
    <row r="161" s="51" customFormat="1" x14ac:dyDescent="0.25"/>
    <row r="162" s="51" customFormat="1" x14ac:dyDescent="0.25"/>
    <row r="163" s="51" customFormat="1" x14ac:dyDescent="0.25"/>
    <row r="164" s="51" customFormat="1" x14ac:dyDescent="0.25"/>
    <row r="165" s="51" customFormat="1" x14ac:dyDescent="0.25"/>
    <row r="166" s="51" customFormat="1" x14ac:dyDescent="0.25"/>
    <row r="167" s="51" customFormat="1" x14ac:dyDescent="0.25"/>
    <row r="168" s="51" customFormat="1" x14ac:dyDescent="0.25"/>
    <row r="169" s="51" customFormat="1" x14ac:dyDescent="0.25"/>
    <row r="170" s="51" customFormat="1" x14ac:dyDescent="0.25"/>
    <row r="171" s="51" customFormat="1" x14ac:dyDescent="0.25"/>
    <row r="172" s="51" customFormat="1" x14ac:dyDescent="0.25"/>
    <row r="173" s="51" customFormat="1" x14ac:dyDescent="0.25"/>
    <row r="174" s="51" customFormat="1" x14ac:dyDescent="0.25"/>
    <row r="175" s="51" customFormat="1" x14ac:dyDescent="0.25"/>
    <row r="176" s="51" customFormat="1" x14ac:dyDescent="0.25"/>
    <row r="177" s="51" customFormat="1" x14ac:dyDescent="0.25"/>
    <row r="178" s="51" customFormat="1" x14ac:dyDescent="0.25"/>
    <row r="179" s="51" customFormat="1" x14ac:dyDescent="0.25"/>
    <row r="180" s="51" customFormat="1" x14ac:dyDescent="0.25"/>
    <row r="181" s="51" customFormat="1" x14ac:dyDescent="0.25"/>
    <row r="182" s="51" customFormat="1" x14ac:dyDescent="0.25"/>
    <row r="183" s="51" customFormat="1" x14ac:dyDescent="0.25"/>
    <row r="184" s="51" customFormat="1" x14ac:dyDescent="0.25"/>
    <row r="185" s="51" customFormat="1" x14ac:dyDescent="0.25"/>
    <row r="186" s="51" customFormat="1" x14ac:dyDescent="0.25"/>
    <row r="187" s="51" customFormat="1" x14ac:dyDescent="0.25"/>
    <row r="188" s="51" customFormat="1" x14ac:dyDescent="0.25"/>
    <row r="189" s="51" customFormat="1" x14ac:dyDescent="0.25"/>
    <row r="190" s="51" customFormat="1" x14ac:dyDescent="0.25"/>
    <row r="191" s="51" customFormat="1" x14ac:dyDescent="0.25"/>
    <row r="192" s="51" customFormat="1" x14ac:dyDescent="0.25"/>
    <row r="193" s="51" customFormat="1" x14ac:dyDescent="0.25"/>
    <row r="194" s="51" customFormat="1" x14ac:dyDescent="0.25"/>
    <row r="195" s="51" customFormat="1" x14ac:dyDescent="0.25"/>
    <row r="196" s="51" customFormat="1" x14ac:dyDescent="0.25"/>
    <row r="197" s="51" customFormat="1" x14ac:dyDescent="0.25"/>
    <row r="198" s="51" customFormat="1" x14ac:dyDescent="0.25"/>
    <row r="199" s="51" customFormat="1" x14ac:dyDescent="0.25"/>
    <row r="200" s="51" customFormat="1" x14ac:dyDescent="0.25"/>
    <row r="201" s="51" customFormat="1" x14ac:dyDescent="0.25"/>
    <row r="202" s="51" customFormat="1" x14ac:dyDescent="0.25"/>
    <row r="203" s="51" customFormat="1" x14ac:dyDescent="0.25"/>
    <row r="204" s="51" customFormat="1" x14ac:dyDescent="0.25"/>
    <row r="205" s="51" customFormat="1" x14ac:dyDescent="0.25"/>
    <row r="206" s="51" customFormat="1" x14ac:dyDescent="0.25"/>
    <row r="207" s="51" customFormat="1" x14ac:dyDescent="0.25"/>
    <row r="208" s="51" customFormat="1" x14ac:dyDescent="0.25"/>
    <row r="209" s="51" customFormat="1" x14ac:dyDescent="0.25"/>
    <row r="210" s="51" customFormat="1" x14ac:dyDescent="0.25"/>
    <row r="211" s="51" customFormat="1" x14ac:dyDescent="0.25"/>
    <row r="212" s="51" customFormat="1" x14ac:dyDescent="0.25"/>
    <row r="213" s="51" customFormat="1" x14ac:dyDescent="0.25"/>
    <row r="214" s="51" customFormat="1" x14ac:dyDescent="0.25"/>
    <row r="215" s="51" customFormat="1" x14ac:dyDescent="0.25"/>
    <row r="216" s="51" customFormat="1" x14ac:dyDescent="0.25"/>
    <row r="217" s="51" customFormat="1" x14ac:dyDescent="0.25"/>
    <row r="218" s="51" customFormat="1" x14ac:dyDescent="0.25"/>
    <row r="219" s="51" customFormat="1" x14ac:dyDescent="0.25"/>
    <row r="220" s="51" customFormat="1" x14ac:dyDescent="0.25"/>
    <row r="221" s="51" customFormat="1" x14ac:dyDescent="0.25"/>
    <row r="222" s="51" customFormat="1" x14ac:dyDescent="0.25"/>
    <row r="223" s="51" customFormat="1" x14ac:dyDescent="0.25"/>
    <row r="224" s="51" customFormat="1" x14ac:dyDescent="0.25"/>
    <row r="225" s="51" customFormat="1" x14ac:dyDescent="0.25"/>
  </sheetData>
  <sheetProtection algorithmName="SHA-512" hashValue="mOFaojfwcr8pa5cluOpCPDK15pZ8cMlDPjOW/aNqvwWQFuEDXYgtupLqfjm652CowrZy8HqbUlB53DRFwrY2KQ==" saltValue="IWaZpZJUgxFafmf2/VEsyQ==" spinCount="100000" sheet="1" objects="1" scenarios="1" selectLockedCells="1"/>
  <dataConsolidate/>
  <mergeCells count="6">
    <mergeCell ref="B65:C65"/>
    <mergeCell ref="B3:N3"/>
    <mergeCell ref="F99:F100"/>
    <mergeCell ref="AI33:AK34"/>
    <mergeCell ref="N7:N48"/>
    <mergeCell ref="N51:N90"/>
  </mergeCells>
  <conditionalFormatting sqref="E28">
    <cfRule type="containsText" dxfId="115" priority="15" operator="containsText" text="FALSCH">
      <formula>NOT(ISERROR(SEARCH("FALSCH",E28)))</formula>
    </cfRule>
  </conditionalFormatting>
  <conditionalFormatting sqref="E28 E30 E32 E38 E40 E42 E44:E45 E47 E52 E54 E56 E58 E60:E63 E69 E71 E73 E75 E77">
    <cfRule type="containsText" dxfId="114" priority="14" operator="containsText" text="FALSCH">
      <formula>NOT(ISERROR(SEARCH("FALSCH",E28)))</formula>
    </cfRule>
  </conditionalFormatting>
  <conditionalFormatting sqref="E28 E30 E32 E38 E40 E42 E44:E45 E47 E52 E54 E56 E58 E60:E63 E69 E71 E73 E75 E77">
    <cfRule type="containsText" dxfId="113" priority="13" operator="containsText" text="WAHR">
      <formula>NOT(ISERROR(SEARCH("WAHR",E28)))</formula>
    </cfRule>
  </conditionalFormatting>
  <conditionalFormatting sqref="E28 E30 E32 E38 E40 E42 E44:E45 E47 E52 E54 E56 E58 E60:E63 E69 E71 E73 E75 E77">
    <cfRule type="containsText" dxfId="112" priority="12" operator="containsText" text="FALSCH">
      <formula>NOT(ISERROR(SEARCH("FALSCH",E28)))</formula>
    </cfRule>
  </conditionalFormatting>
  <conditionalFormatting sqref="E34">
    <cfRule type="containsText" dxfId="111" priority="7" operator="containsText" text="WAHR">
      <formula>NOT(ISERROR(SEARCH("WAHR",E34)))</formula>
    </cfRule>
    <cfRule type="containsText" dxfId="110" priority="8" operator="containsText" text="WAHR">
      <formula>NOT(ISERROR(SEARCH("WAHR",E34)))</formula>
    </cfRule>
    <cfRule type="containsText" dxfId="109" priority="9" operator="containsText" text="FALSCH">
      <formula>NOT(ISERROR(SEARCH("FALSCH",E34)))</formula>
    </cfRule>
  </conditionalFormatting>
  <conditionalFormatting sqref="E36">
    <cfRule type="containsText" dxfId="108" priority="5" operator="containsText" text="FALSCH">
      <formula>NOT(ISERROR(SEARCH("FALSCH",E36)))</formula>
    </cfRule>
    <cfRule type="containsText" dxfId="107" priority="6" operator="containsText" text="WAHR">
      <formula>NOT(ISERROR(SEARCH("WAHR",E36)))</formula>
    </cfRule>
  </conditionalFormatting>
  <conditionalFormatting sqref="E82:E83 E85:E86 E88:E89 E94">
    <cfRule type="containsText" dxfId="106" priority="4" operator="containsText" text="WAHR">
      <formula>NOT(ISERROR(SEARCH("WAHR",E82)))</formula>
    </cfRule>
  </conditionalFormatting>
  <conditionalFormatting sqref="E82:E83 E85:E86 E88:E89 E94">
    <cfRule type="containsText" dxfId="105" priority="3" operator="containsText" text="FALSCH">
      <formula>NOT(ISERROR(SEARCH("FALSCH",E82)))</formula>
    </cfRule>
  </conditionalFormatting>
  <conditionalFormatting sqref="E96">
    <cfRule type="containsText" dxfId="104" priority="1" operator="containsText" text="FALSCH">
      <formula>NOT(ISERROR(SEARCH("FALSCH",E96)))</formula>
    </cfRule>
    <cfRule type="containsText" dxfId="103" priority="2" operator="containsText" text="WAHR">
      <formula>NOT(ISERROR(SEARCH("WAHR",E96)))</formula>
    </cfRule>
  </conditionalFormatting>
  <dataValidations count="2">
    <dataValidation type="list" allowBlank="1" showInputMessage="1" showErrorMessage="1" sqref="D36">
      <formula1>"ja, "</formula1>
    </dataValidation>
    <dataValidation type="list" allowBlank="1" showInputMessage="1" showErrorMessage="1" sqref="D40">
      <formula1>"ja,  "</formula1>
    </dataValidation>
  </dataValidations>
  <hyperlinks>
    <hyperlink ref="N110" location="Ergebnisse!A1" display="WEITER"/>
  </hyperlinks>
  <pageMargins left="0.70866141732283472" right="0.70866141732283472" top="0.78740157480314965" bottom="0.78740157480314965" header="0.31496062992125984" footer="0.31496062992125984"/>
  <pageSetup paperSize="8" scale="90"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62"/>
  <sheetViews>
    <sheetView topLeftCell="A10" zoomScale="130" zoomScaleNormal="130" workbookViewId="0">
      <selection activeCell="E44" sqref="E44"/>
    </sheetView>
  </sheetViews>
  <sheetFormatPr baseColWidth="10" defaultRowHeight="15" x14ac:dyDescent="0.25"/>
  <cols>
    <col min="1" max="1" width="11.42578125" style="345"/>
    <col min="2" max="2" width="34.7109375" style="51" customWidth="1"/>
    <col min="3" max="6" width="13.7109375" style="51" customWidth="1"/>
    <col min="7" max="7" width="13.7109375" style="345" customWidth="1"/>
    <col min="8" max="37" width="11.42578125" style="345"/>
    <col min="38" max="48" width="11.42578125" style="51"/>
  </cols>
  <sheetData>
    <row r="1" spans="1:14" s="345" customFormat="1" ht="15.75" thickTop="1" x14ac:dyDescent="0.25">
      <c r="A1" s="368"/>
      <c r="B1" s="366"/>
      <c r="C1" s="366"/>
      <c r="D1" s="366"/>
      <c r="E1" s="366"/>
      <c r="F1" s="366"/>
      <c r="G1" s="366"/>
      <c r="H1" s="367"/>
    </row>
    <row r="2" spans="1:14" s="345" customFormat="1" x14ac:dyDescent="0.25">
      <c r="A2" s="369"/>
      <c r="H2" s="363"/>
    </row>
    <row r="3" spans="1:14" x14ac:dyDescent="0.25">
      <c r="A3" s="369"/>
      <c r="B3" s="345"/>
      <c r="C3" s="345"/>
      <c r="D3" s="345"/>
      <c r="E3" s="345"/>
      <c r="F3" s="345"/>
      <c r="H3" s="363"/>
    </row>
    <row r="4" spans="1:14" ht="18.95" customHeight="1" x14ac:dyDescent="0.25">
      <c r="A4" s="369"/>
      <c r="B4" s="346" t="s">
        <v>119</v>
      </c>
      <c r="C4" s="345"/>
      <c r="D4" s="345"/>
      <c r="E4" s="345"/>
      <c r="F4" s="345"/>
      <c r="G4" s="348"/>
      <c r="H4" s="364"/>
      <c r="I4" s="349"/>
      <c r="J4" s="347"/>
      <c r="K4" s="347"/>
      <c r="L4" s="347"/>
      <c r="M4" s="347"/>
      <c r="N4" s="347"/>
    </row>
    <row r="5" spans="1:14" s="347" customFormat="1" ht="15" customHeight="1" x14ac:dyDescent="0.25">
      <c r="A5" s="369"/>
      <c r="B5" s="261"/>
      <c r="C5" s="340" t="s">
        <v>42</v>
      </c>
      <c r="D5" s="341" t="s">
        <v>5</v>
      </c>
      <c r="E5" s="342" t="s">
        <v>107</v>
      </c>
      <c r="F5" s="343" t="s">
        <v>219</v>
      </c>
      <c r="G5" s="348"/>
      <c r="H5" s="364"/>
      <c r="I5" s="349"/>
    </row>
    <row r="6" spans="1:14" ht="18.95" customHeight="1" x14ac:dyDescent="0.25">
      <c r="A6" s="369"/>
      <c r="B6" s="100" t="s">
        <v>2</v>
      </c>
      <c r="C6" s="261">
        <f>ROUNDDOWN(Betriebsdaten!E10,4)</f>
        <v>0</v>
      </c>
      <c r="D6" s="261">
        <f>ROUNDDOWN(Betriebsdaten!E11,4)</f>
        <v>0</v>
      </c>
      <c r="E6" s="261">
        <f>ROUNDDOWN(Betriebsdaten!E12,4)</f>
        <v>0</v>
      </c>
      <c r="F6" s="59">
        <f>Betriebsdaten!J15</f>
        <v>0</v>
      </c>
      <c r="G6" s="350"/>
      <c r="H6" s="363"/>
      <c r="I6" s="347"/>
      <c r="J6" s="347"/>
      <c r="K6" s="347"/>
      <c r="L6" s="347"/>
      <c r="M6" s="347"/>
      <c r="N6" s="347"/>
    </row>
    <row r="7" spans="1:14" ht="18.95" customHeight="1" x14ac:dyDescent="0.25">
      <c r="A7" s="369"/>
      <c r="B7" s="345"/>
      <c r="C7" s="345"/>
      <c r="D7" s="345"/>
      <c r="E7" s="345"/>
      <c r="F7" s="345"/>
      <c r="G7" s="351"/>
      <c r="H7" s="365"/>
      <c r="I7" s="352"/>
      <c r="J7" s="349"/>
      <c r="K7" s="349"/>
      <c r="L7" s="349"/>
      <c r="M7" s="349"/>
      <c r="N7" s="347"/>
    </row>
    <row r="8" spans="1:14" ht="18.95" customHeight="1" x14ac:dyDescent="0.25">
      <c r="A8" s="369"/>
      <c r="B8" s="345"/>
      <c r="C8" s="345"/>
      <c r="D8" s="345"/>
      <c r="E8" s="345"/>
      <c r="F8" s="345"/>
      <c r="G8" s="350"/>
      <c r="H8" s="363"/>
      <c r="I8" s="347"/>
      <c r="J8" s="347"/>
      <c r="K8" s="347"/>
      <c r="L8" s="347"/>
      <c r="M8" s="347"/>
      <c r="N8" s="347"/>
    </row>
    <row r="9" spans="1:14" ht="18.95" customHeight="1" x14ac:dyDescent="0.25">
      <c r="A9" s="369"/>
      <c r="B9" s="339" t="s">
        <v>221</v>
      </c>
      <c r="C9" s="345"/>
      <c r="D9" s="100" t="s">
        <v>120</v>
      </c>
      <c r="E9" s="339" t="s">
        <v>3</v>
      </c>
      <c r="F9" s="339" t="s">
        <v>121</v>
      </c>
      <c r="G9" s="350"/>
      <c r="H9" s="363"/>
      <c r="I9" s="347"/>
      <c r="J9" s="347"/>
      <c r="K9" s="347"/>
      <c r="L9" s="347"/>
      <c r="M9" s="347"/>
      <c r="N9" s="347"/>
    </row>
    <row r="10" spans="1:14" ht="18.95" customHeight="1" x14ac:dyDescent="0.25">
      <c r="A10" s="369"/>
      <c r="B10" s="390">
        <f>Betriebsdaten!J12</f>
        <v>0</v>
      </c>
      <c r="C10" s="345"/>
      <c r="D10" s="100" t="s">
        <v>220</v>
      </c>
      <c r="E10" s="101">
        <f>Betriebsdaten!J9</f>
        <v>0</v>
      </c>
      <c r="F10" s="101">
        <f>Betriebsdaten!J11</f>
        <v>0</v>
      </c>
      <c r="G10" s="350"/>
      <c r="H10" s="363"/>
      <c r="I10" s="347"/>
      <c r="J10" s="347"/>
      <c r="K10" s="347"/>
      <c r="L10" s="347"/>
      <c r="M10" s="347"/>
      <c r="N10" s="347"/>
    </row>
    <row r="11" spans="1:14" ht="18.95" customHeight="1" x14ac:dyDescent="0.25">
      <c r="A11" s="369"/>
      <c r="B11" s="345"/>
      <c r="C11" s="345"/>
      <c r="D11" s="345"/>
      <c r="E11" s="345"/>
      <c r="F11" s="345"/>
      <c r="G11" s="350"/>
      <c r="H11" s="363"/>
      <c r="I11" s="347"/>
      <c r="J11" s="347"/>
      <c r="K11" s="347"/>
      <c r="L11" s="347"/>
      <c r="M11" s="347"/>
      <c r="N11" s="347"/>
    </row>
    <row r="12" spans="1:14" ht="18.95" customHeight="1" x14ac:dyDescent="0.25">
      <c r="A12" s="369"/>
      <c r="B12" s="345"/>
      <c r="C12" s="345"/>
      <c r="D12" s="345"/>
      <c r="E12" s="345"/>
      <c r="F12" s="345"/>
      <c r="G12" s="350"/>
      <c r="H12" s="363"/>
      <c r="I12" s="347"/>
      <c r="J12" s="347"/>
      <c r="K12" s="347"/>
      <c r="L12" s="347"/>
      <c r="M12" s="347"/>
      <c r="N12" s="347"/>
    </row>
    <row r="13" spans="1:14" ht="18.95" customHeight="1" x14ac:dyDescent="0.25">
      <c r="A13" s="369"/>
      <c r="B13" s="355" t="s">
        <v>364</v>
      </c>
      <c r="C13" s="345"/>
      <c r="D13" s="345"/>
      <c r="E13" s="345"/>
      <c r="F13" s="345"/>
      <c r="G13" s="351"/>
      <c r="H13" s="365"/>
      <c r="I13" s="352"/>
      <c r="J13" s="349"/>
      <c r="K13" s="349"/>
      <c r="L13" s="349"/>
      <c r="M13" s="349"/>
      <c r="N13" s="347"/>
    </row>
    <row r="14" spans="1:14" ht="18" customHeight="1" x14ac:dyDescent="0.25">
      <c r="A14" s="369"/>
      <c r="B14" s="85"/>
      <c r="C14" s="86">
        <v>2023</v>
      </c>
      <c r="D14" s="86">
        <v>2024</v>
      </c>
      <c r="E14" s="86">
        <v>2025</v>
      </c>
      <c r="F14" s="87">
        <v>2026</v>
      </c>
      <c r="G14" s="350"/>
      <c r="H14" s="363"/>
      <c r="I14" s="347"/>
      <c r="J14" s="347"/>
      <c r="K14" s="347"/>
      <c r="L14" s="347"/>
      <c r="M14" s="347"/>
      <c r="N14" s="347"/>
    </row>
    <row r="15" spans="1:14" ht="18" customHeight="1" x14ac:dyDescent="0.25">
      <c r="A15" s="369"/>
      <c r="B15" s="88" t="s">
        <v>252</v>
      </c>
      <c r="C15" s="89">
        <f>Rechner!J22</f>
        <v>0</v>
      </c>
      <c r="D15" s="89">
        <f>Rechner!K22</f>
        <v>0</v>
      </c>
      <c r="E15" s="89">
        <f>Rechner!L22</f>
        <v>0</v>
      </c>
      <c r="F15" s="89">
        <f>Rechner!M22</f>
        <v>0</v>
      </c>
      <c r="G15" s="350"/>
      <c r="H15" s="363"/>
      <c r="I15" s="347"/>
      <c r="J15" s="347"/>
      <c r="K15" s="347"/>
      <c r="L15" s="347"/>
      <c r="M15" s="347"/>
      <c r="N15" s="347"/>
    </row>
    <row r="16" spans="1:14" ht="18" customHeight="1" x14ac:dyDescent="0.25">
      <c r="A16" s="369"/>
      <c r="B16" s="90" t="s">
        <v>245</v>
      </c>
      <c r="C16" s="89">
        <f>Rechner!J24</f>
        <v>0</v>
      </c>
      <c r="D16" s="89">
        <f>Rechner!K24</f>
        <v>0</v>
      </c>
      <c r="E16" s="89">
        <f>Rechner!L24</f>
        <v>0</v>
      </c>
      <c r="F16" s="89">
        <f>Rechner!M24</f>
        <v>0</v>
      </c>
      <c r="G16" s="350"/>
      <c r="H16" s="363"/>
      <c r="I16" s="347"/>
      <c r="J16" s="347"/>
      <c r="K16" s="347"/>
      <c r="L16" s="347"/>
      <c r="M16" s="347"/>
      <c r="N16" s="347"/>
    </row>
    <row r="17" spans="1:14" ht="18" customHeight="1" x14ac:dyDescent="0.25">
      <c r="A17" s="369"/>
      <c r="B17" s="91" t="s">
        <v>253</v>
      </c>
      <c r="C17" s="89">
        <f>Rechner!J17</f>
        <v>0</v>
      </c>
      <c r="D17" s="89">
        <f>Rechner!K17</f>
        <v>0</v>
      </c>
      <c r="E17" s="89">
        <f>Rechner!L17</f>
        <v>0</v>
      </c>
      <c r="F17" s="89">
        <f>Rechner!M17</f>
        <v>0</v>
      </c>
      <c r="G17" s="350"/>
      <c r="H17" s="363"/>
      <c r="I17" s="347"/>
      <c r="J17" s="347"/>
      <c r="K17" s="347"/>
      <c r="L17" s="347"/>
      <c r="M17" s="347"/>
      <c r="N17" s="347"/>
    </row>
    <row r="18" spans="1:14" ht="18" customHeight="1" x14ac:dyDescent="0.25">
      <c r="A18" s="369"/>
      <c r="B18" s="92" t="s">
        <v>256</v>
      </c>
      <c r="C18" s="89">
        <f>Rechner!J48</f>
        <v>0</v>
      </c>
      <c r="D18" s="89">
        <f>Rechner!K48</f>
        <v>0</v>
      </c>
      <c r="E18" s="89">
        <f>Rechner!L48</f>
        <v>0</v>
      </c>
      <c r="F18" s="89">
        <f>Rechner!M48</f>
        <v>0</v>
      </c>
      <c r="G18" s="350"/>
      <c r="H18" s="363"/>
      <c r="I18" s="347"/>
      <c r="J18" s="347"/>
      <c r="K18" s="347"/>
      <c r="L18" s="347"/>
      <c r="M18" s="347"/>
      <c r="N18" s="347"/>
    </row>
    <row r="19" spans="1:14" ht="18" customHeight="1" x14ac:dyDescent="0.25">
      <c r="A19" s="369"/>
      <c r="B19" s="93" t="s">
        <v>257</v>
      </c>
      <c r="C19" s="89">
        <f>Rechner!J66</f>
        <v>0</v>
      </c>
      <c r="D19" s="89">
        <f>Rechner!K66</f>
        <v>0</v>
      </c>
      <c r="E19" s="89">
        <f>Rechner!L66</f>
        <v>0</v>
      </c>
      <c r="F19" s="89">
        <f>Rechner!M66</f>
        <v>0</v>
      </c>
      <c r="G19" s="350"/>
      <c r="H19" s="363"/>
      <c r="I19" s="347"/>
      <c r="J19" s="347"/>
      <c r="K19" s="347"/>
      <c r="L19" s="347"/>
      <c r="M19" s="347"/>
      <c r="N19" s="347"/>
    </row>
    <row r="20" spans="1:14" ht="18" customHeight="1" x14ac:dyDescent="0.25">
      <c r="A20" s="369"/>
      <c r="B20" s="94" t="s">
        <v>255</v>
      </c>
      <c r="C20" s="89">
        <f>Rechner!J78</f>
        <v>0</v>
      </c>
      <c r="D20" s="89">
        <f>Rechner!K78</f>
        <v>0</v>
      </c>
      <c r="E20" s="89">
        <f>Rechner!L78</f>
        <v>0</v>
      </c>
      <c r="F20" s="89">
        <f>Rechner!M78</f>
        <v>0</v>
      </c>
      <c r="G20" s="353"/>
      <c r="H20" s="363"/>
    </row>
    <row r="21" spans="1:14" ht="18" customHeight="1" x14ac:dyDescent="0.25">
      <c r="A21" s="369"/>
      <c r="B21" s="297" t="s">
        <v>217</v>
      </c>
      <c r="C21" s="89">
        <f>Rechner!J90</f>
        <v>0</v>
      </c>
      <c r="D21" s="89">
        <f>Rechner!K90</f>
        <v>0</v>
      </c>
      <c r="E21" s="89">
        <f>Rechner!L90</f>
        <v>0</v>
      </c>
      <c r="F21" s="89">
        <f>Rechner!M90</f>
        <v>0</v>
      </c>
      <c r="G21" s="353"/>
      <c r="H21" s="363"/>
    </row>
    <row r="22" spans="1:14" ht="18" hidden="1" customHeight="1" x14ac:dyDescent="0.25">
      <c r="A22" s="369"/>
      <c r="B22" s="296" t="s">
        <v>166</v>
      </c>
      <c r="C22" s="89">
        <f>Rechner!J97</f>
        <v>0</v>
      </c>
      <c r="D22" s="89">
        <f>Rechner!K97</f>
        <v>0</v>
      </c>
      <c r="E22" s="89">
        <f>Rechner!L97</f>
        <v>0</v>
      </c>
      <c r="F22" s="89">
        <f>Rechner!M97</f>
        <v>0</v>
      </c>
      <c r="G22" s="353"/>
      <c r="H22" s="363"/>
    </row>
    <row r="23" spans="1:14" ht="18" customHeight="1" x14ac:dyDescent="0.25">
      <c r="A23" s="369"/>
      <c r="B23" s="95"/>
      <c r="C23" s="89"/>
      <c r="D23" s="89"/>
      <c r="E23" s="89"/>
      <c r="F23" s="89"/>
      <c r="G23" s="353"/>
      <c r="H23" s="363"/>
    </row>
    <row r="24" spans="1:14" ht="18" customHeight="1" x14ac:dyDescent="0.25">
      <c r="A24" s="369"/>
      <c r="B24" s="96" t="s">
        <v>357</v>
      </c>
      <c r="C24" s="89">
        <f>Rechner!J104</f>
        <v>0</v>
      </c>
      <c r="D24" s="89">
        <f>Rechner!K104</f>
        <v>0</v>
      </c>
      <c r="E24" s="89">
        <f>Rechner!L104</f>
        <v>0</v>
      </c>
      <c r="F24" s="89">
        <f>Rechner!M104</f>
        <v>0</v>
      </c>
      <c r="G24" s="353"/>
      <c r="H24" s="363"/>
    </row>
    <row r="25" spans="1:14" ht="18" customHeight="1" x14ac:dyDescent="0.25">
      <c r="A25" s="369"/>
      <c r="B25" s="96" t="s">
        <v>358</v>
      </c>
      <c r="C25" s="89">
        <f>Rechner!J106</f>
        <v>0</v>
      </c>
      <c r="D25" s="89">
        <f>Rechner!K106</f>
        <v>0</v>
      </c>
      <c r="E25" s="89">
        <f>Rechner!L106</f>
        <v>0</v>
      </c>
      <c r="F25" s="89">
        <f>Rechner!M106</f>
        <v>0</v>
      </c>
      <c r="G25" s="353"/>
      <c r="H25" s="363"/>
    </row>
    <row r="26" spans="1:14" ht="15.75" x14ac:dyDescent="0.25">
      <c r="A26" s="369"/>
      <c r="B26" s="345"/>
      <c r="C26" s="345"/>
      <c r="D26" s="345"/>
      <c r="E26" s="345"/>
      <c r="F26" s="345"/>
      <c r="G26" s="353"/>
      <c r="H26" s="363"/>
    </row>
    <row r="27" spans="1:14" ht="15.75" x14ac:dyDescent="0.25">
      <c r="A27" s="369"/>
      <c r="B27" s="345"/>
      <c r="C27" s="345"/>
      <c r="D27" s="345"/>
      <c r="E27" s="345"/>
      <c r="F27" s="345"/>
      <c r="G27" s="353"/>
      <c r="H27" s="363"/>
    </row>
    <row r="28" spans="1:14" s="345" customFormat="1" ht="15.75" x14ac:dyDescent="0.25">
      <c r="A28" s="369"/>
      <c r="B28" s="350"/>
      <c r="C28" s="391"/>
      <c r="D28" s="391"/>
      <c r="E28" s="391"/>
      <c r="F28" s="391"/>
      <c r="G28" s="353"/>
      <c r="H28" s="363"/>
    </row>
    <row r="29" spans="1:14" hidden="1" x14ac:dyDescent="0.25">
      <c r="A29" s="369"/>
      <c r="B29" s="345"/>
      <c r="C29" s="345"/>
      <c r="D29" s="345"/>
      <c r="E29" s="345"/>
      <c r="F29" s="345"/>
      <c r="H29" s="363"/>
    </row>
    <row r="30" spans="1:14" ht="15.75" thickBot="1" x14ac:dyDescent="0.3">
      <c r="A30" s="373"/>
      <c r="B30" s="371"/>
      <c r="C30" s="371"/>
      <c r="D30" s="371"/>
      <c r="E30" s="371"/>
      <c r="F30" s="371"/>
      <c r="G30" s="371"/>
      <c r="H30" s="372"/>
    </row>
    <row r="31" spans="1:14" ht="16.5" thickTop="1" x14ac:dyDescent="0.25">
      <c r="A31" s="368"/>
      <c r="B31" s="366"/>
      <c r="C31" s="366"/>
      <c r="D31" s="366"/>
      <c r="E31" s="366"/>
      <c r="F31" s="366"/>
      <c r="G31" s="374"/>
      <c r="H31" s="367"/>
    </row>
    <row r="32" spans="1:14" ht="15.75" x14ac:dyDescent="0.25">
      <c r="A32" s="369"/>
      <c r="B32" s="356" t="s">
        <v>365</v>
      </c>
      <c r="C32" s="353"/>
      <c r="D32" s="353"/>
      <c r="E32" s="353"/>
      <c r="F32" s="353"/>
      <c r="G32" s="347"/>
      <c r="H32" s="363"/>
    </row>
    <row r="33" spans="1:8" ht="15.75" x14ac:dyDescent="0.25">
      <c r="A33" s="369"/>
      <c r="B33" s="85"/>
      <c r="C33" s="86">
        <v>2023</v>
      </c>
      <c r="D33" s="86">
        <v>2024</v>
      </c>
      <c r="E33" s="86">
        <v>2025</v>
      </c>
      <c r="F33" s="87">
        <v>2026</v>
      </c>
      <c r="G33" s="350"/>
      <c r="H33" s="363"/>
    </row>
    <row r="34" spans="1:8" ht="15.75" x14ac:dyDescent="0.25">
      <c r="A34" s="369"/>
      <c r="B34" s="97" t="s">
        <v>116</v>
      </c>
      <c r="C34" s="98">
        <f>IF(Betriebsdaten!E10&gt;0,(Rechner!J12+Rechner!J24+Rechner!J17)/Rechner!$C8+(Rechner!J28+Rechner!J30+Rechner!J36+Rechner!J44+Rechner!J45)/Rechner!$C9+IF(Betriebsdaten!$E17-Betriebsdaten!$E18&gt;0,Rechner!J47/Betriebsdaten!$E17,),)</f>
        <v>0</v>
      </c>
      <c r="D34" s="98">
        <f>IF(Betriebsdaten!E10&gt;0,(Rechner!K12+Rechner!K24+Rechner!K17)/Rechner!$C8+(Rechner!K28+Rechner!K30+Rechner!K36+Rechner!K44+Rechner!K45)/Rechner!$C9+IF(Betriebsdaten!$E17-Betriebsdaten!$E18&gt;0,Rechner!K47/Betriebsdaten!$E17,),)</f>
        <v>0</v>
      </c>
      <c r="E34" s="98">
        <f>IF(Betriebsdaten!E10&gt;0,(Rechner!L12+Rechner!L24+Rechner!L17)/Rechner!$C8+(Rechner!L28+Rechner!L30+Rechner!L36+Rechner!L44+Rechner!L45)/Rechner!$C9+IF(Betriebsdaten!$E17-Betriebsdaten!$E18&gt;0,Rechner!L47/Betriebsdaten!$E17,),)</f>
        <v>0</v>
      </c>
      <c r="F34" s="98">
        <f>IF(Betriebsdaten!E10&gt;0,(Rechner!M12+Rechner!M24+Rechner!M17)/Rechner!$C8+(Rechner!M28+Rechner!M30+Rechner!M36+Rechner!M44+Rechner!M45)/Rechner!$C9+IF(Betriebsdaten!$E17-Betriebsdaten!$E18&gt;0,Rechner!M47/Betriebsdaten!$E17,),)</f>
        <v>0</v>
      </c>
      <c r="G34" s="350"/>
      <c r="H34" s="363"/>
    </row>
    <row r="35" spans="1:8" ht="15.75" x14ac:dyDescent="0.25">
      <c r="A35" s="369"/>
      <c r="B35" s="99" t="s">
        <v>117</v>
      </c>
      <c r="C35" s="98">
        <f>IF(Betriebsdaten!E11&gt;0,(Rechner!J12+Rechner!J24+Rechner!J17)/Rechner!$C8+(Rechner!J34+Rechner!J40+Rechner!J42)/Rechner!$C10+(Rechner!J66+Rechner!J78)/Rechner!$C10+IF(Betriebsdaten!$E18&gt;0,Rechner!J47/Betriebsdaten!$E17,),)</f>
        <v>0</v>
      </c>
      <c r="D35" s="98">
        <f>IF(Betriebsdaten!E11&gt;0,(Rechner!K12+Rechner!K24+Rechner!K17)/Rechner!$C8+(Rechner!K34+Rechner!K40+Rechner!K42)/Rechner!$C10+(Rechner!K66+Rechner!K78)/Rechner!$C10+IF(Betriebsdaten!$E18&gt;0,Rechner!K47/Betriebsdaten!$E17,),)</f>
        <v>0</v>
      </c>
      <c r="E35" s="98">
        <f>IF(Betriebsdaten!E11&gt;0,(Rechner!L12+Rechner!L24+Rechner!L17)/Rechner!$C8+(Rechner!L34+Rechner!L40+Rechner!L42)/Rechner!$C10+(Rechner!L66+Rechner!L78)/Rechner!$C10+IF(Betriebsdaten!$E18&gt;0,Rechner!L47/Betriebsdaten!$E17,),)</f>
        <v>0</v>
      </c>
      <c r="F35" s="98">
        <f>IF(Betriebsdaten!E11&gt;0,(Rechner!M12+Rechner!M24+Rechner!M17)/Rechner!$C8+(Rechner!M34+Rechner!M40+Rechner!M42)/Rechner!$C10+(Rechner!M66+Rechner!M78)/Rechner!$C10+IF(Betriebsdaten!$E18&gt;0,Rechner!M47/Betriebsdaten!$E17,),)</f>
        <v>0</v>
      </c>
      <c r="G35" s="421"/>
      <c r="H35" s="363"/>
    </row>
    <row r="36" spans="1:8" ht="15.75" x14ac:dyDescent="0.25">
      <c r="A36" s="369"/>
      <c r="B36" s="344" t="s">
        <v>118</v>
      </c>
      <c r="C36" s="98">
        <f>IF(Betriebsdaten!E12&gt;0,(Rechner!J12+Rechner!J24+Rechner!J17)/Rechner!$C8+Rechner!J32/Rechner!$C11,)</f>
        <v>0</v>
      </c>
      <c r="D36" s="98">
        <f>IF(Betriebsdaten!E12&gt;0,(Rechner!K12+Rechner!K24+Rechner!K17)/Rechner!$C8+Rechner!K32/Rechner!$C11,)</f>
        <v>0</v>
      </c>
      <c r="E36" s="98">
        <f>IF(Betriebsdaten!E12&gt;0,(Rechner!L12+Rechner!L24+Rechner!L17)/Rechner!$C8+Rechner!L32/Rechner!$C11,)</f>
        <v>0</v>
      </c>
      <c r="F36" s="98">
        <f>IF(Betriebsdaten!E12&gt;0,(Rechner!M12+Rechner!M24+Rechner!M17)/Rechner!$C8+Rechner!M32/Rechner!$C11,)</f>
        <v>0</v>
      </c>
      <c r="G36" s="353"/>
      <c r="H36" s="363"/>
    </row>
    <row r="37" spans="1:8" x14ac:dyDescent="0.25">
      <c r="A37" s="369"/>
      <c r="B37" s="345"/>
      <c r="C37" s="345"/>
      <c r="D37" s="345"/>
      <c r="E37" s="345"/>
      <c r="F37" s="345"/>
      <c r="H37" s="363"/>
    </row>
    <row r="38" spans="1:8" x14ac:dyDescent="0.25">
      <c r="A38" s="369"/>
      <c r="B38" s="345"/>
      <c r="C38" s="345"/>
      <c r="D38" s="345"/>
      <c r="E38" s="345"/>
      <c r="F38" s="345"/>
      <c r="H38" s="363"/>
    </row>
    <row r="39" spans="1:8" x14ac:dyDescent="0.25">
      <c r="A39" s="369"/>
      <c r="B39" s="345"/>
      <c r="C39" s="345"/>
      <c r="D39" s="345"/>
      <c r="E39" s="345"/>
      <c r="F39" s="345"/>
      <c r="H39" s="363"/>
    </row>
    <row r="40" spans="1:8" x14ac:dyDescent="0.25">
      <c r="A40" s="369"/>
      <c r="B40" s="345"/>
      <c r="C40" s="345"/>
      <c r="D40" s="345"/>
      <c r="E40" s="345"/>
      <c r="F40" s="345"/>
      <c r="H40" s="363"/>
    </row>
    <row r="41" spans="1:8" x14ac:dyDescent="0.25">
      <c r="A41" s="369"/>
      <c r="B41" s="345"/>
      <c r="C41" s="345"/>
      <c r="D41" s="345"/>
      <c r="E41" s="345"/>
      <c r="F41" s="345"/>
      <c r="H41" s="363"/>
    </row>
    <row r="42" spans="1:8" x14ac:dyDescent="0.25">
      <c r="A42" s="369"/>
      <c r="B42" s="345"/>
      <c r="C42" s="345"/>
      <c r="D42" s="345"/>
      <c r="E42" s="345"/>
      <c r="F42" s="345"/>
      <c r="H42" s="363"/>
    </row>
    <row r="43" spans="1:8" x14ac:dyDescent="0.25">
      <c r="A43" s="369"/>
      <c r="B43" s="345"/>
      <c r="C43" s="345"/>
      <c r="D43" s="345"/>
      <c r="E43" s="345"/>
      <c r="F43" s="345"/>
      <c r="H43" s="363"/>
    </row>
    <row r="44" spans="1:8" x14ac:dyDescent="0.25">
      <c r="A44" s="369"/>
      <c r="B44" s="345"/>
      <c r="C44" s="345"/>
      <c r="D44" s="345"/>
      <c r="E44" s="345"/>
      <c r="F44" s="345"/>
      <c r="H44" s="363"/>
    </row>
    <row r="45" spans="1:8" x14ac:dyDescent="0.25">
      <c r="A45" s="369"/>
      <c r="B45" s="345"/>
      <c r="C45" s="345"/>
      <c r="D45" s="345"/>
      <c r="E45" s="345"/>
      <c r="F45" s="345"/>
      <c r="H45" s="363"/>
    </row>
    <row r="46" spans="1:8" x14ac:dyDescent="0.25">
      <c r="A46" s="369"/>
      <c r="B46" s="345"/>
      <c r="C46" s="345"/>
      <c r="D46" s="345"/>
      <c r="E46" s="345"/>
      <c r="F46" s="345"/>
      <c r="H46" s="363"/>
    </row>
    <row r="47" spans="1:8" x14ac:dyDescent="0.25">
      <c r="A47" s="369"/>
      <c r="B47" s="345"/>
      <c r="C47" s="345"/>
      <c r="D47" s="345"/>
      <c r="E47" s="345"/>
      <c r="F47" s="345"/>
      <c r="H47" s="363"/>
    </row>
    <row r="48" spans="1:8" x14ac:dyDescent="0.25">
      <c r="A48" s="369"/>
      <c r="B48" s="345"/>
      <c r="C48" s="345"/>
      <c r="D48" s="345"/>
      <c r="E48" s="345"/>
      <c r="F48" s="345"/>
      <c r="H48" s="363"/>
    </row>
    <row r="49" spans="1:8" x14ac:dyDescent="0.25">
      <c r="A49" s="369"/>
      <c r="B49" s="345"/>
      <c r="C49" s="345"/>
      <c r="D49" s="345"/>
      <c r="E49" s="345"/>
      <c r="F49" s="345"/>
      <c r="H49" s="363"/>
    </row>
    <row r="50" spans="1:8" x14ac:dyDescent="0.25">
      <c r="A50" s="369"/>
      <c r="B50" s="345"/>
      <c r="C50" s="345"/>
      <c r="D50" s="345"/>
      <c r="E50" s="345"/>
      <c r="F50" s="345"/>
      <c r="H50" s="363"/>
    </row>
    <row r="51" spans="1:8" x14ac:dyDescent="0.25">
      <c r="A51" s="369"/>
      <c r="B51" s="345"/>
      <c r="C51" s="345"/>
      <c r="D51" s="345"/>
      <c r="E51" s="345"/>
      <c r="F51" s="345"/>
      <c r="H51" s="363"/>
    </row>
    <row r="52" spans="1:8" x14ac:dyDescent="0.25">
      <c r="A52" s="369"/>
      <c r="B52" s="357">
        <v>2022</v>
      </c>
      <c r="C52" s="357">
        <v>2023</v>
      </c>
      <c r="D52" s="357">
        <v>2024</v>
      </c>
      <c r="E52" s="357">
        <v>2025</v>
      </c>
      <c r="F52" s="357">
        <v>2026</v>
      </c>
      <c r="H52" s="363"/>
    </row>
    <row r="53" spans="1:8" x14ac:dyDescent="0.25">
      <c r="A53" s="369"/>
      <c r="B53" s="358">
        <f>Rechner!I104-Rechner!$H104</f>
        <v>0</v>
      </c>
      <c r="C53" s="358">
        <f>Rechner!J104-Rechner!$H104</f>
        <v>0</v>
      </c>
      <c r="D53" s="358">
        <f>Rechner!K104-Rechner!$H104</f>
        <v>0</v>
      </c>
      <c r="E53" s="358">
        <f>Rechner!L104-Rechner!$H104</f>
        <v>0</v>
      </c>
      <c r="F53" s="358">
        <f>Rechner!M104-Rechner!$H104</f>
        <v>0</v>
      </c>
      <c r="H53" s="363"/>
    </row>
    <row r="54" spans="1:8" x14ac:dyDescent="0.25">
      <c r="A54" s="369"/>
      <c r="B54" s="357"/>
      <c r="C54" s="357"/>
      <c r="D54" s="357"/>
      <c r="E54" s="357"/>
      <c r="F54" s="357"/>
      <c r="H54" s="363"/>
    </row>
    <row r="55" spans="1:8" x14ac:dyDescent="0.25">
      <c r="A55" s="369"/>
      <c r="B55" s="358"/>
      <c r="C55" s="358"/>
      <c r="D55" s="358"/>
      <c r="E55" s="358"/>
      <c r="F55" s="358"/>
      <c r="H55" s="363"/>
    </row>
    <row r="56" spans="1:8" x14ac:dyDescent="0.25">
      <c r="A56" s="369"/>
      <c r="B56" s="345"/>
      <c r="C56" s="345"/>
      <c r="D56" s="345"/>
      <c r="E56" s="345"/>
      <c r="F56" s="345"/>
      <c r="H56" s="363"/>
    </row>
    <row r="57" spans="1:8" x14ac:dyDescent="0.25">
      <c r="A57" s="369"/>
      <c r="B57" s="345"/>
      <c r="C57" s="345"/>
      <c r="D57" s="345"/>
      <c r="E57" s="345"/>
      <c r="F57" s="345"/>
      <c r="H57" s="363"/>
    </row>
    <row r="58" spans="1:8" x14ac:dyDescent="0.25">
      <c r="A58" s="369"/>
      <c r="B58" s="345"/>
      <c r="C58" s="345"/>
      <c r="D58" s="345"/>
      <c r="E58" s="345"/>
      <c r="F58" s="345"/>
      <c r="H58" s="363"/>
    </row>
    <row r="59" spans="1:8" x14ac:dyDescent="0.25">
      <c r="A59" s="369"/>
      <c r="B59" s="345"/>
      <c r="C59" s="345"/>
      <c r="D59" s="345"/>
      <c r="E59" s="345"/>
      <c r="F59" s="345"/>
      <c r="H59" s="363"/>
    </row>
    <row r="60" spans="1:8" x14ac:dyDescent="0.25">
      <c r="A60" s="369"/>
      <c r="B60" s="345"/>
      <c r="C60" s="345"/>
      <c r="D60" s="345"/>
      <c r="E60" s="345"/>
      <c r="F60" s="345"/>
      <c r="H60" s="363"/>
    </row>
    <row r="61" spans="1:8" x14ac:dyDescent="0.25">
      <c r="A61" s="369"/>
      <c r="B61" s="345"/>
      <c r="C61" s="345"/>
      <c r="D61" s="345"/>
      <c r="E61" s="345"/>
      <c r="F61" s="345"/>
      <c r="H61" s="363"/>
    </row>
    <row r="62" spans="1:8" ht="15.75" thickBot="1" x14ac:dyDescent="0.3">
      <c r="A62" s="373"/>
      <c r="B62" s="371"/>
      <c r="C62" s="371"/>
      <c r="D62" s="371"/>
      <c r="E62" s="371"/>
      <c r="F62" s="371"/>
      <c r="G62" s="371"/>
      <c r="H62" s="372"/>
    </row>
    <row r="63" spans="1:8" ht="15.75" thickTop="1" x14ac:dyDescent="0.25">
      <c r="A63" s="368"/>
      <c r="B63" s="366"/>
      <c r="C63" s="366"/>
      <c r="D63" s="366"/>
      <c r="E63" s="366"/>
      <c r="F63" s="366"/>
      <c r="G63" s="366"/>
      <c r="H63" s="367"/>
    </row>
    <row r="64" spans="1:8" x14ac:dyDescent="0.25">
      <c r="A64" s="369"/>
      <c r="B64" s="347"/>
      <c r="C64" s="347"/>
      <c r="D64" s="347"/>
      <c r="E64" s="347"/>
      <c r="F64" s="347"/>
      <c r="G64" s="347"/>
      <c r="H64" s="363"/>
    </row>
    <row r="65" spans="1:8" x14ac:dyDescent="0.25">
      <c r="A65" s="369"/>
      <c r="B65" s="345"/>
      <c r="C65" s="345"/>
      <c r="D65" s="345"/>
      <c r="E65" s="345"/>
      <c r="F65" s="345"/>
      <c r="H65" s="363"/>
    </row>
    <row r="66" spans="1:8" x14ac:dyDescent="0.25">
      <c r="A66" s="369"/>
      <c r="B66" s="345"/>
      <c r="C66" s="345"/>
      <c r="D66" s="345"/>
      <c r="E66" s="345"/>
      <c r="F66" s="345"/>
      <c r="H66" s="363"/>
    </row>
    <row r="67" spans="1:8" x14ac:dyDescent="0.25">
      <c r="A67" s="369"/>
      <c r="B67" s="345"/>
      <c r="C67" s="345"/>
      <c r="D67" s="345"/>
      <c r="E67" s="345"/>
      <c r="F67" s="345"/>
      <c r="H67" s="363"/>
    </row>
    <row r="68" spans="1:8" x14ac:dyDescent="0.25">
      <c r="A68" s="369"/>
      <c r="B68" s="345"/>
      <c r="C68" s="345"/>
      <c r="D68" s="345"/>
      <c r="E68" s="345"/>
      <c r="F68" s="345"/>
      <c r="H68" s="363"/>
    </row>
    <row r="69" spans="1:8" x14ac:dyDescent="0.25">
      <c r="A69" s="369"/>
      <c r="B69" s="345"/>
      <c r="C69" s="345"/>
      <c r="D69" s="345"/>
      <c r="E69" s="345"/>
      <c r="F69" s="345"/>
      <c r="H69" s="363"/>
    </row>
    <row r="70" spans="1:8" x14ac:dyDescent="0.25">
      <c r="A70" s="369"/>
      <c r="B70" s="345"/>
      <c r="C70" s="345"/>
      <c r="D70" s="345"/>
      <c r="E70" s="345"/>
      <c r="F70" s="345"/>
      <c r="H70" s="363"/>
    </row>
    <row r="71" spans="1:8" x14ac:dyDescent="0.25">
      <c r="A71" s="369"/>
      <c r="B71" s="345"/>
      <c r="C71" s="345"/>
      <c r="D71" s="345"/>
      <c r="E71" s="345"/>
      <c r="F71" s="345"/>
      <c r="H71" s="363"/>
    </row>
    <row r="72" spans="1:8" x14ac:dyDescent="0.25">
      <c r="A72" s="369"/>
      <c r="B72" s="345"/>
      <c r="C72" s="345"/>
      <c r="D72" s="345"/>
      <c r="E72" s="345"/>
      <c r="F72" s="345"/>
      <c r="H72" s="363"/>
    </row>
    <row r="73" spans="1:8" x14ac:dyDescent="0.25">
      <c r="A73" s="369"/>
      <c r="B73" s="345">
        <v>2021</v>
      </c>
      <c r="C73" s="345">
        <v>2022</v>
      </c>
      <c r="D73" s="345">
        <v>2023</v>
      </c>
      <c r="E73" s="345">
        <v>2024</v>
      </c>
      <c r="F73" s="345">
        <v>2025</v>
      </c>
      <c r="G73" s="345">
        <v>2026</v>
      </c>
      <c r="H73" s="363"/>
    </row>
    <row r="74" spans="1:8" x14ac:dyDescent="0.25">
      <c r="A74" s="369"/>
      <c r="B74" s="354">
        <f>Rechner!H105</f>
        <v>0</v>
      </c>
      <c r="C74" s="354">
        <f>Rechner!I105-$B74</f>
        <v>0</v>
      </c>
      <c r="D74" s="354">
        <f>Rechner!J105-$B74</f>
        <v>0</v>
      </c>
      <c r="E74" s="354">
        <f>Rechner!K105-$B74</f>
        <v>0</v>
      </c>
      <c r="F74" s="354">
        <f>Rechner!L105-$B74</f>
        <v>0</v>
      </c>
      <c r="G74" s="354">
        <f>Rechner!M105-$B74</f>
        <v>0</v>
      </c>
      <c r="H74" s="363"/>
    </row>
    <row r="75" spans="1:8" x14ac:dyDescent="0.25">
      <c r="A75" s="369"/>
      <c r="B75" s="345"/>
      <c r="C75" s="345"/>
      <c r="D75" s="345"/>
      <c r="E75" s="345"/>
      <c r="F75" s="345"/>
      <c r="H75" s="363"/>
    </row>
    <row r="76" spans="1:8" x14ac:dyDescent="0.25">
      <c r="A76" s="369"/>
      <c r="B76" s="345"/>
      <c r="C76" s="345"/>
      <c r="D76" s="345"/>
      <c r="E76" s="345"/>
      <c r="F76" s="345"/>
      <c r="H76" s="363"/>
    </row>
    <row r="77" spans="1:8" x14ac:dyDescent="0.25">
      <c r="A77" s="369"/>
      <c r="B77" s="345"/>
      <c r="C77" s="345"/>
      <c r="D77" s="345"/>
      <c r="E77" s="345"/>
      <c r="F77" s="345"/>
      <c r="H77" s="363"/>
    </row>
    <row r="78" spans="1:8" x14ac:dyDescent="0.25">
      <c r="A78" s="369"/>
      <c r="B78" s="345"/>
      <c r="C78" s="345"/>
      <c r="D78" s="345"/>
      <c r="E78" s="345"/>
      <c r="F78" s="345"/>
      <c r="H78" s="363"/>
    </row>
    <row r="79" spans="1:8" x14ac:dyDescent="0.25">
      <c r="A79" s="369"/>
      <c r="B79" s="345"/>
      <c r="C79" s="345"/>
      <c r="D79" s="345"/>
      <c r="E79" s="345"/>
      <c r="F79" s="345"/>
      <c r="H79" s="363"/>
    </row>
    <row r="80" spans="1:8" x14ac:dyDescent="0.25">
      <c r="A80" s="369"/>
      <c r="B80" s="345"/>
      <c r="C80" s="345" t="s">
        <v>129</v>
      </c>
      <c r="D80" s="345"/>
      <c r="E80" s="345"/>
      <c r="F80" s="345"/>
      <c r="H80" s="363"/>
    </row>
    <row r="81" spans="1:8" x14ac:dyDescent="0.25">
      <c r="A81" s="369"/>
      <c r="B81" s="345"/>
      <c r="C81" s="345"/>
      <c r="D81" s="345"/>
      <c r="E81" s="345"/>
      <c r="F81" s="345"/>
      <c r="H81" s="363"/>
    </row>
    <row r="82" spans="1:8" ht="15.75" x14ac:dyDescent="0.25">
      <c r="A82" s="369"/>
      <c r="B82" s="345"/>
      <c r="C82" s="359" t="s">
        <v>362</v>
      </c>
      <c r="D82" s="360" t="e">
        <f>Rechner!J17/Rechner!J106</f>
        <v>#DIV/0!</v>
      </c>
      <c r="E82" s="345"/>
      <c r="F82" s="345"/>
      <c r="H82" s="363"/>
    </row>
    <row r="83" spans="1:8" ht="15.75" x14ac:dyDescent="0.25">
      <c r="A83" s="369"/>
      <c r="B83" s="345"/>
      <c r="C83" s="359" t="s">
        <v>359</v>
      </c>
      <c r="D83" s="360" t="e">
        <f>Rechner!J22/Rechner!J106</f>
        <v>#DIV/0!</v>
      </c>
      <c r="E83" s="345"/>
      <c r="F83" s="345"/>
      <c r="H83" s="363"/>
    </row>
    <row r="84" spans="1:8" ht="15.75" x14ac:dyDescent="0.25">
      <c r="A84" s="369"/>
      <c r="B84" s="345"/>
      <c r="C84" s="359" t="s">
        <v>363</v>
      </c>
      <c r="D84" s="360" t="e">
        <f>Rechner!J24/Rechner!J106</f>
        <v>#DIV/0!</v>
      </c>
      <c r="E84" s="345"/>
      <c r="F84" s="345"/>
      <c r="H84" s="363"/>
    </row>
    <row r="85" spans="1:8" ht="15.75" x14ac:dyDescent="0.25">
      <c r="A85" s="369"/>
      <c r="B85" s="345"/>
      <c r="C85" s="359" t="s">
        <v>360</v>
      </c>
      <c r="D85" s="360" t="e">
        <f>Rechner!J48/Rechner!J106</f>
        <v>#DIV/0!</v>
      </c>
      <c r="E85" s="345"/>
      <c r="F85" s="345"/>
      <c r="H85" s="363"/>
    </row>
    <row r="86" spans="1:8" ht="15.75" x14ac:dyDescent="0.25">
      <c r="A86" s="369"/>
      <c r="B86" s="345"/>
      <c r="C86" s="359" t="s">
        <v>361</v>
      </c>
      <c r="D86" s="360" t="e">
        <f>Rechner!J66/Rechner!J106</f>
        <v>#DIV/0!</v>
      </c>
      <c r="E86" s="345"/>
      <c r="F86" s="345"/>
      <c r="H86" s="363"/>
    </row>
    <row r="87" spans="1:8" ht="15.75" x14ac:dyDescent="0.25">
      <c r="A87" s="369"/>
      <c r="B87" s="345"/>
      <c r="C87" s="359" t="s">
        <v>108</v>
      </c>
      <c r="D87" s="360" t="e">
        <f>Rechner!J78/Rechner!J106</f>
        <v>#DIV/0!</v>
      </c>
      <c r="E87" s="345"/>
      <c r="F87" s="345"/>
      <c r="H87" s="363"/>
    </row>
    <row r="88" spans="1:8" ht="15.75" x14ac:dyDescent="0.25">
      <c r="A88" s="369"/>
      <c r="B88" s="345"/>
      <c r="C88" s="359" t="s">
        <v>218</v>
      </c>
      <c r="D88" s="361" t="e">
        <f>Rechner!J90/Rechner!J106</f>
        <v>#DIV/0!</v>
      </c>
      <c r="E88" s="345"/>
      <c r="F88" s="345"/>
      <c r="H88" s="363"/>
    </row>
    <row r="89" spans="1:8" ht="15.75" x14ac:dyDescent="0.25">
      <c r="A89" s="369"/>
      <c r="B89" s="345"/>
      <c r="C89" s="362"/>
      <c r="D89" s="347"/>
      <c r="E89" s="345"/>
      <c r="F89" s="345"/>
      <c r="H89" s="363"/>
    </row>
    <row r="90" spans="1:8" x14ac:dyDescent="0.25">
      <c r="A90" s="369"/>
      <c r="B90" s="345"/>
      <c r="C90" s="345"/>
      <c r="D90" s="345"/>
      <c r="E90" s="345"/>
      <c r="F90" s="345"/>
      <c r="H90" s="363"/>
    </row>
    <row r="91" spans="1:8" x14ac:dyDescent="0.25">
      <c r="A91" s="369"/>
      <c r="B91" s="345"/>
      <c r="C91" s="345"/>
      <c r="D91" s="345"/>
      <c r="E91" s="345"/>
      <c r="F91" s="345"/>
      <c r="H91" s="363"/>
    </row>
    <row r="92" spans="1:8" x14ac:dyDescent="0.25">
      <c r="A92" s="369"/>
      <c r="B92" s="345"/>
      <c r="C92" s="345"/>
      <c r="D92" s="345"/>
      <c r="E92" s="345"/>
      <c r="F92" s="345"/>
      <c r="H92" s="363"/>
    </row>
    <row r="93" spans="1:8" x14ac:dyDescent="0.25">
      <c r="A93" s="369"/>
      <c r="B93" s="345"/>
      <c r="C93" s="345"/>
      <c r="D93" s="345"/>
      <c r="E93" s="345"/>
      <c r="F93" s="345"/>
      <c r="H93" s="363"/>
    </row>
    <row r="94" spans="1:8" ht="15.75" thickBot="1" x14ac:dyDescent="0.3">
      <c r="A94" s="373"/>
      <c r="B94" s="371"/>
      <c r="C94" s="371"/>
      <c r="D94" s="371"/>
      <c r="E94" s="371"/>
      <c r="F94" s="371"/>
      <c r="G94" s="371"/>
      <c r="H94" s="372"/>
    </row>
    <row r="95" spans="1:8" ht="16.5" thickTop="1" thickBot="1" x14ac:dyDescent="0.3">
      <c r="A95" s="368"/>
      <c r="B95" s="366"/>
      <c r="C95" s="366"/>
      <c r="D95" s="366"/>
      <c r="E95" s="366"/>
      <c r="F95" s="366"/>
      <c r="G95" s="366"/>
      <c r="H95" s="367"/>
    </row>
    <row r="96" spans="1:8" ht="16.5" thickTop="1" thickBot="1" x14ac:dyDescent="0.3">
      <c r="A96" s="369"/>
      <c r="B96" s="600" t="s">
        <v>132</v>
      </c>
      <c r="C96" s="601"/>
      <c r="D96" s="601"/>
      <c r="E96" s="601"/>
      <c r="F96" s="601"/>
      <c r="G96" s="602"/>
      <c r="H96" s="363"/>
    </row>
    <row r="97" spans="1:9" ht="15.75" thickTop="1" x14ac:dyDescent="0.25">
      <c r="A97" s="370"/>
      <c r="B97" s="321" t="s">
        <v>50</v>
      </c>
      <c r="C97" s="631" t="str">
        <f>IF(AND(Rechner!E28=TRUE,Rechner!D28&gt;0%),"AUSGEWÄHLT","-")</f>
        <v>-</v>
      </c>
      <c r="D97" s="628" t="s">
        <v>40</v>
      </c>
      <c r="E97" s="628"/>
      <c r="F97" s="629"/>
      <c r="G97" s="631" t="str">
        <f>IF(AND(Rechner!E77=TRUE,Rechner!D77&gt;0),"AUSGEWÄHLT","-")</f>
        <v>-</v>
      </c>
      <c r="H97" s="363"/>
    </row>
    <row r="98" spans="1:9" x14ac:dyDescent="0.25">
      <c r="A98" s="370"/>
      <c r="B98" s="335" t="s">
        <v>51</v>
      </c>
      <c r="C98" s="624"/>
      <c r="D98" s="619" t="s">
        <v>62</v>
      </c>
      <c r="E98" s="619"/>
      <c r="F98" s="620"/>
      <c r="G98" s="624"/>
      <c r="H98" s="363"/>
    </row>
    <row r="99" spans="1:9" x14ac:dyDescent="0.25">
      <c r="A99" s="370"/>
      <c r="B99" s="336" t="s">
        <v>18</v>
      </c>
      <c r="C99" s="623" t="str">
        <f>IF(AND(Rechner!E30=TRUE,Rechner!D30&gt;0),"AUSGEWÄHLT","-")</f>
        <v>-</v>
      </c>
      <c r="D99" s="610" t="s">
        <v>31</v>
      </c>
      <c r="E99" s="610"/>
      <c r="F99" s="611"/>
      <c r="G99" s="623" t="str">
        <f>IF(AND(Rechner!E52=TRUE,Rechner!D52&gt;0),"AUSGEWÄHLT","-")</f>
        <v>-</v>
      </c>
      <c r="H99" s="363"/>
    </row>
    <row r="100" spans="1:9" x14ac:dyDescent="0.25">
      <c r="A100" s="370"/>
      <c r="B100" s="335" t="s">
        <v>104</v>
      </c>
      <c r="C100" s="624"/>
      <c r="D100" s="619" t="s">
        <v>87</v>
      </c>
      <c r="E100" s="619"/>
      <c r="F100" s="620"/>
      <c r="G100" s="624"/>
      <c r="H100" s="363"/>
    </row>
    <row r="101" spans="1:9" x14ac:dyDescent="0.25">
      <c r="A101" s="370"/>
      <c r="B101" s="336" t="s">
        <v>44</v>
      </c>
      <c r="C101" s="623" t="str">
        <f>IF(AND(Rechner!E32=TRUE,Rechner!D32&gt;0),"AUSGEWÄHLT","-")</f>
        <v>-</v>
      </c>
      <c r="D101" s="632" t="s">
        <v>32</v>
      </c>
      <c r="E101" s="628"/>
      <c r="F101" s="629"/>
      <c r="G101" s="631" t="str">
        <f>IF(AND(Rechner!E54=TRUE,Rechner!D54&gt;0),"AUSGEWÄHLT","-")</f>
        <v>-</v>
      </c>
      <c r="H101" s="363"/>
    </row>
    <row r="102" spans="1:9" x14ac:dyDescent="0.25">
      <c r="A102" s="370"/>
      <c r="B102" s="335" t="s">
        <v>105</v>
      </c>
      <c r="C102" s="624"/>
      <c r="D102" s="618" t="s">
        <v>63</v>
      </c>
      <c r="E102" s="619"/>
      <c r="F102" s="620"/>
      <c r="G102" s="624"/>
      <c r="H102" s="363"/>
    </row>
    <row r="103" spans="1:9" x14ac:dyDescent="0.25">
      <c r="A103" s="370"/>
      <c r="B103" s="336" t="s">
        <v>21</v>
      </c>
      <c r="C103" s="623" t="str">
        <f>IF(AND(Rechner!T34=TRUE,Rechner!D34&gt;0%),"AUSGEWÄHLT","-")</f>
        <v>-</v>
      </c>
      <c r="D103" s="609" t="s">
        <v>33</v>
      </c>
      <c r="E103" s="610"/>
      <c r="F103" s="611"/>
      <c r="G103" s="623" t="str">
        <f>IF(AND(Rechner!E56=TRUE,Rechner!D56&gt;0),"AUSGEWÄHLT","-")</f>
        <v>-</v>
      </c>
      <c r="H103" s="363"/>
    </row>
    <row r="104" spans="1:9" x14ac:dyDescent="0.25">
      <c r="A104" s="370"/>
      <c r="B104" s="335" t="s">
        <v>52</v>
      </c>
      <c r="C104" s="624"/>
      <c r="D104" s="618" t="s">
        <v>64</v>
      </c>
      <c r="E104" s="619"/>
      <c r="F104" s="620"/>
      <c r="G104" s="624"/>
      <c r="H104" s="363"/>
    </row>
    <row r="105" spans="1:9" x14ac:dyDescent="0.25">
      <c r="A105" s="370"/>
      <c r="B105" s="336" t="s">
        <v>23</v>
      </c>
      <c r="C105" s="623" t="str">
        <f>IF(AND(Rechner!E36=TRUE,Rechner!D36="ja"),"AUSGEWÄHLT","-")</f>
        <v>-</v>
      </c>
      <c r="D105" s="609" t="s">
        <v>34</v>
      </c>
      <c r="E105" s="610"/>
      <c r="F105" s="611"/>
      <c r="G105" s="623" t="str">
        <f>IF(AND(Rechner!E58=TRUE,Rechner!D58&gt;0),"AUSGEWÄHLT","-")</f>
        <v>-</v>
      </c>
      <c r="H105" s="363"/>
    </row>
    <row r="106" spans="1:9" x14ac:dyDescent="0.25">
      <c r="A106" s="370"/>
      <c r="B106" s="335" t="s">
        <v>53</v>
      </c>
      <c r="C106" s="624"/>
      <c r="D106" s="618" t="s">
        <v>65</v>
      </c>
      <c r="E106" s="619"/>
      <c r="F106" s="620"/>
      <c r="G106" s="624"/>
      <c r="H106" s="363"/>
    </row>
    <row r="107" spans="1:9" x14ac:dyDescent="0.25">
      <c r="A107" s="370"/>
      <c r="B107" s="336" t="s">
        <v>43</v>
      </c>
      <c r="C107" s="623" t="str">
        <f>IF(AND(Rechner!E38=TRUE,Rechner!D38&gt;0),"AUSGEWÄHLT","-")</f>
        <v>-</v>
      </c>
      <c r="D107" s="609" t="s">
        <v>35</v>
      </c>
      <c r="E107" s="610"/>
      <c r="F107" s="611"/>
      <c r="G107" s="623" t="str">
        <f>IF(AND(Rechner!E60=TRUE,Rechner!D60&gt;0),"AUSGEWÄHLT","-")</f>
        <v>-</v>
      </c>
      <c r="H107" s="363"/>
    </row>
    <row r="108" spans="1:9" x14ac:dyDescent="0.25">
      <c r="A108" s="370"/>
      <c r="B108" s="335" t="s">
        <v>54</v>
      </c>
      <c r="C108" s="624"/>
      <c r="D108" s="618" t="s">
        <v>66</v>
      </c>
      <c r="E108" s="619"/>
      <c r="F108" s="620"/>
      <c r="G108" s="624"/>
      <c r="H108" s="363"/>
    </row>
    <row r="109" spans="1:9" x14ac:dyDescent="0.25">
      <c r="A109" s="370"/>
      <c r="B109" s="336" t="s">
        <v>24</v>
      </c>
      <c r="C109" s="623" t="str">
        <f>IF(AND(Rechner!E40=TRUE,Rechner!D40&gt;0),"AUSGEWÄHLT","-")</f>
        <v>-</v>
      </c>
      <c r="D109" s="612" t="s">
        <v>157</v>
      </c>
      <c r="E109" s="613"/>
      <c r="F109" s="614"/>
      <c r="G109" s="623" t="str">
        <f>IF(AND(Rechner!E62=TRUE,Rechner!D62&gt;0),"AUSGEWÄHLT","-")</f>
        <v>-</v>
      </c>
      <c r="H109" s="363"/>
      <c r="I109" s="347"/>
    </row>
    <row r="110" spans="1:9" x14ac:dyDescent="0.25">
      <c r="A110" s="370"/>
      <c r="B110" s="335" t="s">
        <v>55</v>
      </c>
      <c r="C110" s="624"/>
      <c r="D110" s="615" t="s">
        <v>195</v>
      </c>
      <c r="E110" s="616"/>
      <c r="F110" s="617"/>
      <c r="G110" s="624"/>
      <c r="H110" s="363"/>
      <c r="I110" s="347"/>
    </row>
    <row r="111" spans="1:9" x14ac:dyDescent="0.25">
      <c r="A111" s="370"/>
      <c r="B111" s="336" t="s">
        <v>26</v>
      </c>
      <c r="C111" s="623" t="str">
        <f>IF(AND(Rechner!E42=TRUE,Rechner!D42&gt;0),"AUSGEWÄHLT","-")</f>
        <v>-</v>
      </c>
      <c r="D111" s="635" t="s">
        <v>194</v>
      </c>
      <c r="E111" s="636"/>
      <c r="F111" s="637"/>
      <c r="G111" s="623" t="str">
        <f>IF(AND(Rechner!E63=TRUE,Rechner!D63&gt;0),"AUSGEWÄHLT","-")</f>
        <v>-</v>
      </c>
      <c r="H111" s="363"/>
      <c r="I111" s="347"/>
    </row>
    <row r="112" spans="1:9" x14ac:dyDescent="0.25">
      <c r="A112" s="370"/>
      <c r="B112" s="335" t="s">
        <v>100</v>
      </c>
      <c r="C112" s="624"/>
      <c r="D112" s="638" t="s">
        <v>196</v>
      </c>
      <c r="E112" s="639"/>
      <c r="F112" s="640"/>
      <c r="G112" s="624"/>
      <c r="H112" s="363"/>
      <c r="I112" s="347"/>
    </row>
    <row r="113" spans="1:9" x14ac:dyDescent="0.25">
      <c r="A113" s="370"/>
      <c r="B113" s="336" t="s">
        <v>56</v>
      </c>
      <c r="C113" s="623" t="str">
        <f>IF(AND(Rechner!E44=TRUE,Rechner!D44&gt;0),"AUSGEWÄHLT","-")</f>
        <v>-</v>
      </c>
      <c r="D113" s="609" t="s">
        <v>92</v>
      </c>
      <c r="E113" s="610"/>
      <c r="F113" s="611"/>
      <c r="G113" s="623" t="str">
        <f>IF(Rechner!D65&gt;0,"AUSGEWÄHLT","-")</f>
        <v>-</v>
      </c>
      <c r="H113" s="363"/>
      <c r="I113" s="347"/>
    </row>
    <row r="114" spans="1:9" x14ac:dyDescent="0.25">
      <c r="A114" s="370"/>
      <c r="B114" s="519" t="s">
        <v>45</v>
      </c>
      <c r="C114" s="624"/>
      <c r="D114" s="618" t="s">
        <v>99</v>
      </c>
      <c r="E114" s="619"/>
      <c r="F114" s="620"/>
      <c r="G114" s="624"/>
      <c r="H114" s="363"/>
      <c r="I114" s="347"/>
    </row>
    <row r="115" spans="1:9" x14ac:dyDescent="0.25">
      <c r="A115" s="370"/>
      <c r="B115" s="336" t="s">
        <v>56</v>
      </c>
      <c r="C115" s="631" t="str">
        <f>IF(AND(Rechner!E45=TRUE,Rechner!D45&gt;0),"AUSGEWÄHLT","-")</f>
        <v>-</v>
      </c>
      <c r="D115" s="612" t="s">
        <v>169</v>
      </c>
      <c r="E115" s="613"/>
      <c r="F115" s="614"/>
      <c r="G115" s="623" t="str">
        <f>IF(AND(Rechner!E82=TRUE,Rechner!D82&gt;0),"AUSGEWÄHLT","-")</f>
        <v>-</v>
      </c>
      <c r="H115" s="363"/>
    </row>
    <row r="116" spans="1:9" x14ac:dyDescent="0.25">
      <c r="A116" s="370"/>
      <c r="B116" s="335" t="s">
        <v>46</v>
      </c>
      <c r="C116" s="624"/>
      <c r="D116" s="615" t="s">
        <v>160</v>
      </c>
      <c r="E116" s="616"/>
      <c r="F116" s="617"/>
      <c r="G116" s="624"/>
      <c r="H116" s="363"/>
    </row>
    <row r="117" spans="1:9" x14ac:dyDescent="0.25">
      <c r="A117" s="370"/>
      <c r="B117" s="336" t="s">
        <v>29</v>
      </c>
      <c r="C117" s="627" t="str">
        <f>IF(AND(Rechner!E47=TRUE,Rechner!D47&gt;0),"AUSGEWÄHLT","-")</f>
        <v>-</v>
      </c>
      <c r="D117" s="612" t="s">
        <v>170</v>
      </c>
      <c r="E117" s="613"/>
      <c r="F117" s="614"/>
      <c r="G117" s="623" t="str">
        <f>IF(AND(Rechner!E83=TRUE,Rechner!D83&gt;0),"AUSGEWÄHLT","-")</f>
        <v>-</v>
      </c>
      <c r="H117" s="363"/>
    </row>
    <row r="118" spans="1:9" x14ac:dyDescent="0.25">
      <c r="A118" s="370"/>
      <c r="B118" s="321" t="s">
        <v>57</v>
      </c>
      <c r="C118" s="630"/>
      <c r="D118" s="615" t="s">
        <v>161</v>
      </c>
      <c r="E118" s="616"/>
      <c r="F118" s="617"/>
      <c r="G118" s="624"/>
      <c r="H118" s="363"/>
    </row>
    <row r="119" spans="1:9" x14ac:dyDescent="0.25">
      <c r="A119" s="370"/>
      <c r="B119" s="337" t="s">
        <v>36</v>
      </c>
      <c r="C119" s="626" t="str">
        <f>IF(AND(Rechner!E69=TRUE,Rechner!D69&gt;0),"AUSGEWÄHLT","-")</f>
        <v>-</v>
      </c>
      <c r="D119" s="612" t="s">
        <v>171</v>
      </c>
      <c r="E119" s="613"/>
      <c r="F119" s="614"/>
      <c r="G119" s="623" t="str">
        <f>IF(AND(Rechner!E85=TRUE,Rechner!D85&gt;0),"AUSGEWÄHLT","-")</f>
        <v>-</v>
      </c>
      <c r="H119" s="363"/>
    </row>
    <row r="120" spans="1:9" x14ac:dyDescent="0.25">
      <c r="A120" s="370"/>
      <c r="B120" s="338" t="s">
        <v>58</v>
      </c>
      <c r="C120" s="626"/>
      <c r="D120" s="615" t="s">
        <v>162</v>
      </c>
      <c r="E120" s="616"/>
      <c r="F120" s="617"/>
      <c r="G120" s="624"/>
      <c r="H120" s="363"/>
    </row>
    <row r="121" spans="1:9" x14ac:dyDescent="0.25">
      <c r="A121" s="370"/>
      <c r="B121" s="337" t="s">
        <v>37</v>
      </c>
      <c r="C121" s="626" t="str">
        <f>IF(AND(Rechner!E71=TRUE,Rechner!D71&gt;0),"AUSGEWÄHLT","-")</f>
        <v>-</v>
      </c>
      <c r="D121" s="612" t="s">
        <v>172</v>
      </c>
      <c r="E121" s="613"/>
      <c r="F121" s="614"/>
      <c r="G121" s="623" t="str">
        <f>IF(AND(Rechner!E86=TRUE,Rechner!D86&gt;0),"AUSGEWÄHLT","-")</f>
        <v>-</v>
      </c>
      <c r="H121" s="363"/>
    </row>
    <row r="122" spans="1:9" x14ac:dyDescent="0.25">
      <c r="A122" s="370"/>
      <c r="B122" s="338" t="s">
        <v>59</v>
      </c>
      <c r="C122" s="626"/>
      <c r="D122" s="618" t="s">
        <v>163</v>
      </c>
      <c r="E122" s="619"/>
      <c r="F122" s="620"/>
      <c r="G122" s="624"/>
      <c r="H122" s="363"/>
    </row>
    <row r="123" spans="1:9" x14ac:dyDescent="0.25">
      <c r="A123" s="370"/>
      <c r="B123" s="337" t="s">
        <v>38</v>
      </c>
      <c r="C123" s="626" t="str">
        <f>IF(AND(Rechner!E73=TRUE,Rechner!D73&gt;0),"AUSGEWÄHLT","-")</f>
        <v>-</v>
      </c>
      <c r="D123" s="612" t="s">
        <v>173</v>
      </c>
      <c r="E123" s="613"/>
      <c r="F123" s="614"/>
      <c r="G123" s="623" t="str">
        <f>IF(AND(Rechner!E88=TRUE,Rechner!D88&gt;0),"AUSGEWÄHLT","-")</f>
        <v>-</v>
      </c>
      <c r="H123" s="363"/>
    </row>
    <row r="124" spans="1:9" x14ac:dyDescent="0.25">
      <c r="A124" s="370"/>
      <c r="B124" s="338" t="s">
        <v>61</v>
      </c>
      <c r="C124" s="626"/>
      <c r="D124" s="618" t="s">
        <v>162</v>
      </c>
      <c r="E124" s="619"/>
      <c r="F124" s="620"/>
      <c r="G124" s="624"/>
      <c r="H124" s="363"/>
    </row>
    <row r="125" spans="1:9" x14ac:dyDescent="0.25">
      <c r="A125" s="370"/>
      <c r="B125" s="337" t="s">
        <v>39</v>
      </c>
      <c r="C125" s="626" t="str">
        <f>IF(AND(Rechner!E75=TRUE,Rechner!D75&gt;0),"AUSGEWÄHLT","-")</f>
        <v>-</v>
      </c>
      <c r="D125" s="609" t="s">
        <v>174</v>
      </c>
      <c r="E125" s="610"/>
      <c r="F125" s="611"/>
      <c r="G125" s="623" t="str">
        <f>IF(AND(Rechner!E89=TRUE,Rechner!D89&gt;0),"AUSGEWÄHLT","-")</f>
        <v>-</v>
      </c>
      <c r="H125" s="363"/>
    </row>
    <row r="126" spans="1:9" ht="15.75" thickBot="1" x14ac:dyDescent="0.3">
      <c r="A126" s="518"/>
      <c r="B126" s="516" t="s">
        <v>60</v>
      </c>
      <c r="C126" s="627"/>
      <c r="D126" s="632" t="s">
        <v>163</v>
      </c>
      <c r="E126" s="633"/>
      <c r="F126" s="634"/>
      <c r="G126" s="625"/>
      <c r="H126" s="372"/>
    </row>
    <row r="127" spans="1:9" ht="15.75" thickTop="1" x14ac:dyDescent="0.25">
      <c r="B127" s="366"/>
      <c r="C127" s="366"/>
      <c r="D127" s="517"/>
      <c r="E127" s="347"/>
      <c r="F127" s="347"/>
      <c r="G127" s="347"/>
    </row>
    <row r="128" spans="1:9" x14ac:dyDescent="0.25">
      <c r="B128" s="347"/>
      <c r="C128" s="347"/>
      <c r="D128" s="347"/>
      <c r="E128" s="347"/>
      <c r="F128" s="347"/>
      <c r="G128" s="347"/>
    </row>
    <row r="129" spans="2:7" x14ac:dyDescent="0.25">
      <c r="B129" s="345"/>
      <c r="C129" s="345"/>
      <c r="D129" s="345"/>
      <c r="E129" s="345"/>
      <c r="F129" s="345"/>
    </row>
    <row r="130" spans="2:7" x14ac:dyDescent="0.25">
      <c r="B130" s="345"/>
      <c r="C130" s="345"/>
      <c r="D130" s="345"/>
      <c r="E130" s="345"/>
      <c r="F130" s="345"/>
    </row>
    <row r="131" spans="2:7" x14ac:dyDescent="0.25">
      <c r="B131" s="345"/>
      <c r="C131" s="345"/>
      <c r="D131" s="345"/>
      <c r="E131" s="345"/>
      <c r="F131" s="345"/>
    </row>
    <row r="132" spans="2:7" hidden="1" x14ac:dyDescent="0.25">
      <c r="B132" s="345"/>
      <c r="C132" s="345"/>
      <c r="D132" s="606" t="s">
        <v>175</v>
      </c>
      <c r="E132" s="607"/>
      <c r="F132" s="608"/>
      <c r="G132" s="621" t="str">
        <f>IF(AND(Rechner!E94=TRUE,Rechner!D94&gt;0),"JA","-")</f>
        <v>-</v>
      </c>
    </row>
    <row r="133" spans="2:7" hidden="1" x14ac:dyDescent="0.25">
      <c r="B133" s="345"/>
      <c r="C133" s="345"/>
      <c r="D133" s="603" t="s">
        <v>164</v>
      </c>
      <c r="E133" s="604"/>
      <c r="F133" s="605"/>
      <c r="G133" s="622"/>
    </row>
    <row r="134" spans="2:7" hidden="1" x14ac:dyDescent="0.25">
      <c r="B134" s="345"/>
      <c r="C134" s="345"/>
      <c r="D134" s="606" t="s">
        <v>176</v>
      </c>
      <c r="E134" s="607"/>
      <c r="F134" s="608"/>
      <c r="G134" s="621" t="str">
        <f>IF(AND(Rechner!E96=TRUE,Rechner!D96&gt;0),"JA","-")</f>
        <v>-</v>
      </c>
    </row>
    <row r="135" spans="2:7" hidden="1" x14ac:dyDescent="0.25">
      <c r="B135" s="345"/>
      <c r="C135" s="345"/>
      <c r="D135" s="603" t="s">
        <v>165</v>
      </c>
      <c r="E135" s="604"/>
      <c r="F135" s="605"/>
      <c r="G135" s="622"/>
    </row>
    <row r="136" spans="2:7" x14ac:dyDescent="0.25">
      <c r="B136" s="345"/>
      <c r="C136" s="345"/>
      <c r="D136" s="345"/>
      <c r="E136" s="345"/>
      <c r="F136" s="345"/>
    </row>
    <row r="137" spans="2:7" x14ac:dyDescent="0.25">
      <c r="B137" s="345"/>
      <c r="C137" s="345"/>
      <c r="D137" s="345"/>
      <c r="E137" s="345"/>
      <c r="F137" s="345"/>
    </row>
    <row r="138" spans="2:7" x14ac:dyDescent="0.25">
      <c r="B138" s="345"/>
      <c r="C138" s="345"/>
      <c r="D138" s="345"/>
      <c r="E138" s="345"/>
      <c r="F138" s="345"/>
    </row>
    <row r="139" spans="2:7" x14ac:dyDescent="0.25">
      <c r="B139" s="345"/>
      <c r="C139" s="345"/>
      <c r="D139" s="345"/>
      <c r="E139" s="345"/>
      <c r="F139" s="345"/>
    </row>
    <row r="140" spans="2:7" x14ac:dyDescent="0.25">
      <c r="B140" s="345"/>
      <c r="C140" s="345"/>
      <c r="D140" s="345"/>
      <c r="E140" s="345"/>
      <c r="F140" s="345"/>
    </row>
    <row r="141" spans="2:7" x14ac:dyDescent="0.25">
      <c r="B141" s="345"/>
      <c r="C141" s="345"/>
      <c r="D141" s="345"/>
      <c r="E141" s="345"/>
      <c r="F141" s="345"/>
    </row>
    <row r="142" spans="2:7" x14ac:dyDescent="0.25">
      <c r="B142" s="345"/>
      <c r="C142" s="345"/>
      <c r="D142" s="345"/>
      <c r="E142" s="345"/>
      <c r="F142" s="345"/>
    </row>
    <row r="143" spans="2:7" x14ac:dyDescent="0.25">
      <c r="B143" s="345"/>
      <c r="C143" s="345"/>
      <c r="D143" s="345"/>
      <c r="E143" s="345"/>
      <c r="F143" s="345"/>
    </row>
    <row r="144" spans="2:7" x14ac:dyDescent="0.25">
      <c r="B144" s="345"/>
      <c r="C144" s="345"/>
      <c r="D144" s="345"/>
      <c r="E144" s="345"/>
      <c r="F144" s="345"/>
    </row>
    <row r="145" spans="2:6" x14ac:dyDescent="0.25">
      <c r="B145" s="345"/>
      <c r="C145" s="345"/>
      <c r="D145" s="345"/>
      <c r="E145" s="345"/>
      <c r="F145" s="345"/>
    </row>
    <row r="146" spans="2:6" x14ac:dyDescent="0.25">
      <c r="B146" s="345"/>
      <c r="C146" s="345"/>
      <c r="D146" s="345"/>
      <c r="E146" s="345"/>
      <c r="F146" s="345"/>
    </row>
    <row r="147" spans="2:6" x14ac:dyDescent="0.25">
      <c r="B147" s="345"/>
      <c r="C147" s="345"/>
      <c r="D147" s="345"/>
      <c r="E147" s="345"/>
      <c r="F147" s="345"/>
    </row>
    <row r="148" spans="2:6" x14ac:dyDescent="0.25">
      <c r="B148" s="345"/>
      <c r="C148" s="345"/>
      <c r="D148" s="345"/>
      <c r="E148" s="345"/>
      <c r="F148" s="345"/>
    </row>
    <row r="149" spans="2:6" x14ac:dyDescent="0.25">
      <c r="B149" s="345"/>
      <c r="C149" s="345"/>
      <c r="D149" s="345"/>
      <c r="E149" s="345"/>
      <c r="F149" s="345"/>
    </row>
    <row r="150" spans="2:6" x14ac:dyDescent="0.25">
      <c r="B150" s="345"/>
      <c r="C150" s="345"/>
      <c r="D150" s="345"/>
      <c r="E150" s="345"/>
      <c r="F150" s="345"/>
    </row>
    <row r="151" spans="2:6" x14ac:dyDescent="0.25">
      <c r="B151" s="345"/>
      <c r="C151" s="345"/>
      <c r="D151" s="345"/>
      <c r="E151" s="345"/>
      <c r="F151" s="345"/>
    </row>
    <row r="152" spans="2:6" x14ac:dyDescent="0.25">
      <c r="B152" s="345"/>
      <c r="C152" s="345"/>
      <c r="D152" s="345"/>
      <c r="E152" s="345"/>
      <c r="F152" s="345"/>
    </row>
    <row r="153" spans="2:6" x14ac:dyDescent="0.25">
      <c r="B153" s="345"/>
      <c r="C153" s="345"/>
      <c r="D153" s="345"/>
      <c r="E153" s="345"/>
      <c r="F153" s="345"/>
    </row>
    <row r="154" spans="2:6" x14ac:dyDescent="0.25">
      <c r="B154" s="345"/>
      <c r="C154" s="345"/>
      <c r="D154" s="345"/>
      <c r="E154" s="345"/>
      <c r="F154" s="345"/>
    </row>
    <row r="155" spans="2:6" x14ac:dyDescent="0.25">
      <c r="B155" s="345"/>
      <c r="C155" s="345"/>
      <c r="D155" s="345"/>
      <c r="E155" s="345"/>
      <c r="F155" s="345"/>
    </row>
    <row r="156" spans="2:6" x14ac:dyDescent="0.25">
      <c r="B156" s="345"/>
      <c r="C156" s="345"/>
      <c r="D156" s="345"/>
      <c r="E156" s="345"/>
      <c r="F156" s="345"/>
    </row>
    <row r="157" spans="2:6" x14ac:dyDescent="0.25">
      <c r="B157" s="345"/>
      <c r="C157" s="345"/>
      <c r="D157" s="345"/>
      <c r="E157" s="345"/>
      <c r="F157" s="345"/>
    </row>
    <row r="158" spans="2:6" x14ac:dyDescent="0.25">
      <c r="B158" s="345"/>
      <c r="C158" s="345"/>
      <c r="D158" s="345"/>
      <c r="E158" s="345"/>
      <c r="F158" s="345"/>
    </row>
    <row r="159" spans="2:6" x14ac:dyDescent="0.25">
      <c r="B159" s="345"/>
      <c r="C159" s="345"/>
      <c r="D159" s="345"/>
      <c r="E159" s="345"/>
      <c r="F159" s="345"/>
    </row>
    <row r="160" spans="2:6" x14ac:dyDescent="0.25">
      <c r="B160" s="345"/>
      <c r="C160" s="345"/>
      <c r="D160" s="345"/>
      <c r="E160" s="345"/>
      <c r="F160" s="345"/>
    </row>
    <row r="161" spans="2:6" x14ac:dyDescent="0.25">
      <c r="B161" s="345"/>
      <c r="C161" s="345"/>
      <c r="D161" s="345"/>
      <c r="E161" s="345"/>
      <c r="F161" s="345"/>
    </row>
    <row r="162" spans="2:6" x14ac:dyDescent="0.25">
      <c r="B162" s="345"/>
      <c r="C162" s="345"/>
      <c r="D162" s="345"/>
      <c r="E162" s="345"/>
      <c r="F162" s="345"/>
    </row>
    <row r="163" spans="2:6" x14ac:dyDescent="0.25">
      <c r="B163" s="345"/>
      <c r="C163" s="345"/>
      <c r="D163" s="345"/>
      <c r="E163" s="345"/>
      <c r="F163" s="345"/>
    </row>
    <row r="164" spans="2:6" x14ac:dyDescent="0.25">
      <c r="B164" s="345"/>
      <c r="C164" s="345"/>
      <c r="D164" s="345"/>
      <c r="E164" s="345"/>
      <c r="F164" s="345"/>
    </row>
    <row r="165" spans="2:6" x14ac:dyDescent="0.25">
      <c r="B165" s="345"/>
      <c r="C165" s="345"/>
      <c r="D165" s="345"/>
      <c r="E165" s="345"/>
      <c r="F165" s="345"/>
    </row>
    <row r="166" spans="2:6" x14ac:dyDescent="0.25">
      <c r="B166" s="345"/>
      <c r="C166" s="345"/>
      <c r="D166" s="345"/>
      <c r="E166" s="345"/>
      <c r="F166" s="345"/>
    </row>
    <row r="167" spans="2:6" x14ac:dyDescent="0.25">
      <c r="B167" s="345"/>
      <c r="C167" s="345"/>
      <c r="D167" s="345"/>
      <c r="E167" s="345"/>
      <c r="F167" s="345"/>
    </row>
    <row r="168" spans="2:6" x14ac:dyDescent="0.25">
      <c r="B168" s="345"/>
      <c r="C168" s="345"/>
      <c r="D168" s="345"/>
      <c r="E168" s="345"/>
      <c r="F168" s="345"/>
    </row>
    <row r="169" spans="2:6" x14ac:dyDescent="0.25">
      <c r="B169" s="345"/>
      <c r="C169" s="345"/>
      <c r="D169" s="345"/>
      <c r="E169" s="345"/>
      <c r="F169" s="345"/>
    </row>
    <row r="170" spans="2:6" x14ac:dyDescent="0.25">
      <c r="B170" s="345"/>
      <c r="C170" s="345"/>
      <c r="D170" s="345"/>
      <c r="E170" s="345"/>
      <c r="F170" s="345"/>
    </row>
    <row r="171" spans="2:6" x14ac:dyDescent="0.25">
      <c r="B171" s="345"/>
      <c r="C171" s="345"/>
      <c r="D171" s="345"/>
      <c r="E171" s="345"/>
      <c r="F171" s="345"/>
    </row>
    <row r="172" spans="2:6" x14ac:dyDescent="0.25">
      <c r="B172" s="345"/>
      <c r="C172" s="345"/>
      <c r="D172" s="345"/>
      <c r="E172" s="345"/>
      <c r="F172" s="345"/>
    </row>
    <row r="173" spans="2:6" x14ac:dyDescent="0.25">
      <c r="B173" s="345"/>
      <c r="C173" s="345"/>
      <c r="D173" s="345"/>
      <c r="E173" s="345"/>
      <c r="F173" s="345"/>
    </row>
    <row r="174" spans="2:6" x14ac:dyDescent="0.25">
      <c r="B174" s="345"/>
      <c r="C174" s="345"/>
      <c r="D174" s="345"/>
      <c r="E174" s="345"/>
      <c r="F174" s="345"/>
    </row>
    <row r="175" spans="2:6" x14ac:dyDescent="0.25">
      <c r="B175" s="345"/>
      <c r="C175" s="345"/>
      <c r="D175" s="345"/>
      <c r="E175" s="345"/>
      <c r="F175" s="345"/>
    </row>
    <row r="176" spans="2:6" x14ac:dyDescent="0.25">
      <c r="B176" s="345"/>
      <c r="C176" s="345"/>
      <c r="D176" s="345"/>
      <c r="E176" s="345"/>
      <c r="F176" s="345"/>
    </row>
    <row r="177" spans="2:6" x14ac:dyDescent="0.25">
      <c r="B177" s="345"/>
      <c r="C177" s="345"/>
      <c r="D177" s="345"/>
      <c r="E177" s="345"/>
      <c r="F177" s="345"/>
    </row>
    <row r="178" spans="2:6" x14ac:dyDescent="0.25">
      <c r="B178" s="345"/>
      <c r="C178" s="345"/>
      <c r="D178" s="345"/>
      <c r="E178" s="345"/>
      <c r="F178" s="345"/>
    </row>
    <row r="179" spans="2:6" x14ac:dyDescent="0.25">
      <c r="B179" s="345"/>
      <c r="C179" s="345"/>
      <c r="D179" s="345"/>
      <c r="E179" s="345"/>
      <c r="F179" s="345"/>
    </row>
    <row r="180" spans="2:6" x14ac:dyDescent="0.25">
      <c r="B180" s="345"/>
      <c r="C180" s="345"/>
      <c r="D180" s="345"/>
      <c r="E180" s="345"/>
      <c r="F180" s="345"/>
    </row>
    <row r="181" spans="2:6" x14ac:dyDescent="0.25">
      <c r="B181" s="345"/>
      <c r="C181" s="345"/>
      <c r="D181" s="345"/>
      <c r="E181" s="345"/>
      <c r="F181" s="345"/>
    </row>
    <row r="182" spans="2:6" x14ac:dyDescent="0.25">
      <c r="B182" s="345"/>
      <c r="C182" s="345"/>
      <c r="D182" s="345"/>
      <c r="E182" s="345"/>
      <c r="F182" s="345"/>
    </row>
    <row r="183" spans="2:6" x14ac:dyDescent="0.25">
      <c r="B183" s="345"/>
      <c r="C183" s="345"/>
      <c r="D183" s="345"/>
      <c r="E183" s="345"/>
      <c r="F183" s="345"/>
    </row>
    <row r="184" spans="2:6" x14ac:dyDescent="0.25">
      <c r="B184" s="345"/>
      <c r="C184" s="345"/>
      <c r="D184" s="345"/>
      <c r="E184" s="345"/>
      <c r="F184" s="345"/>
    </row>
    <row r="185" spans="2:6" x14ac:dyDescent="0.25">
      <c r="B185" s="345"/>
      <c r="C185" s="345"/>
      <c r="D185" s="345"/>
      <c r="E185" s="345"/>
      <c r="F185" s="345"/>
    </row>
    <row r="186" spans="2:6" x14ac:dyDescent="0.25">
      <c r="B186" s="345"/>
      <c r="C186" s="345"/>
      <c r="D186" s="345"/>
      <c r="E186" s="345"/>
      <c r="F186" s="345"/>
    </row>
    <row r="187" spans="2:6" x14ac:dyDescent="0.25">
      <c r="B187" s="345"/>
      <c r="C187" s="345"/>
      <c r="D187" s="345"/>
      <c r="E187" s="345"/>
      <c r="F187" s="345"/>
    </row>
    <row r="188" spans="2:6" x14ac:dyDescent="0.25">
      <c r="B188" s="345"/>
      <c r="C188" s="345"/>
      <c r="D188" s="345"/>
      <c r="E188" s="345"/>
      <c r="F188" s="345"/>
    </row>
    <row r="189" spans="2:6" x14ac:dyDescent="0.25">
      <c r="B189" s="345"/>
      <c r="C189" s="345"/>
      <c r="D189" s="345"/>
      <c r="E189" s="345"/>
      <c r="F189" s="345"/>
    </row>
    <row r="190" spans="2:6" x14ac:dyDescent="0.25">
      <c r="B190" s="345"/>
      <c r="C190" s="345"/>
      <c r="D190" s="345"/>
      <c r="E190" s="345"/>
      <c r="F190" s="345"/>
    </row>
    <row r="191" spans="2:6" x14ac:dyDescent="0.25">
      <c r="B191" s="345"/>
      <c r="C191" s="345"/>
      <c r="D191" s="345"/>
      <c r="E191" s="345"/>
      <c r="F191" s="345"/>
    </row>
    <row r="192" spans="2:6" x14ac:dyDescent="0.25">
      <c r="B192" s="345"/>
      <c r="C192" s="345"/>
      <c r="D192" s="345"/>
      <c r="E192" s="345"/>
      <c r="F192" s="345"/>
    </row>
    <row r="193" spans="2:6" x14ac:dyDescent="0.25">
      <c r="B193" s="345"/>
      <c r="C193" s="345"/>
      <c r="D193" s="345"/>
      <c r="E193" s="345"/>
      <c r="F193" s="345"/>
    </row>
    <row r="194" spans="2:6" x14ac:dyDescent="0.25">
      <c r="B194" s="345"/>
      <c r="C194" s="345"/>
      <c r="D194" s="345"/>
      <c r="E194" s="345"/>
      <c r="F194" s="345"/>
    </row>
    <row r="195" spans="2:6" x14ac:dyDescent="0.25">
      <c r="B195" s="345"/>
      <c r="C195" s="345"/>
      <c r="D195" s="345"/>
      <c r="E195" s="345"/>
      <c r="F195" s="345"/>
    </row>
    <row r="196" spans="2:6" x14ac:dyDescent="0.25">
      <c r="B196" s="345"/>
      <c r="C196" s="345"/>
      <c r="D196" s="345"/>
      <c r="E196" s="345"/>
      <c r="F196" s="345"/>
    </row>
    <row r="197" spans="2:6" x14ac:dyDescent="0.25">
      <c r="B197" s="345"/>
      <c r="C197" s="345"/>
      <c r="D197" s="345"/>
      <c r="E197" s="345"/>
      <c r="F197" s="345"/>
    </row>
    <row r="198" spans="2:6" x14ac:dyDescent="0.25">
      <c r="B198" s="345"/>
      <c r="C198" s="345"/>
      <c r="D198" s="345"/>
      <c r="E198" s="345"/>
      <c r="F198" s="345"/>
    </row>
    <row r="199" spans="2:6" x14ac:dyDescent="0.25">
      <c r="B199" s="345"/>
      <c r="C199" s="345"/>
      <c r="D199" s="345"/>
      <c r="E199" s="345"/>
      <c r="F199" s="345"/>
    </row>
    <row r="200" spans="2:6" x14ac:dyDescent="0.25">
      <c r="B200" s="345"/>
      <c r="C200" s="345"/>
      <c r="D200" s="345"/>
      <c r="E200" s="345"/>
      <c r="F200" s="345"/>
    </row>
    <row r="201" spans="2:6" x14ac:dyDescent="0.25">
      <c r="B201" s="345"/>
      <c r="C201" s="345"/>
      <c r="D201" s="345"/>
      <c r="E201" s="345"/>
      <c r="F201" s="345"/>
    </row>
    <row r="202" spans="2:6" x14ac:dyDescent="0.25">
      <c r="B202" s="345"/>
      <c r="C202" s="345"/>
      <c r="D202" s="345"/>
      <c r="E202" s="345"/>
      <c r="F202" s="345"/>
    </row>
    <row r="203" spans="2:6" x14ac:dyDescent="0.25">
      <c r="B203" s="345"/>
      <c r="C203" s="345"/>
      <c r="D203" s="345"/>
      <c r="E203" s="345"/>
      <c r="F203" s="345"/>
    </row>
    <row r="204" spans="2:6" x14ac:dyDescent="0.25">
      <c r="B204" s="345"/>
      <c r="C204" s="345"/>
      <c r="D204" s="345"/>
      <c r="E204" s="345"/>
      <c r="F204" s="345"/>
    </row>
    <row r="205" spans="2:6" x14ac:dyDescent="0.25">
      <c r="B205" s="345"/>
      <c r="C205" s="345"/>
      <c r="D205" s="345"/>
      <c r="E205" s="345"/>
      <c r="F205" s="345"/>
    </row>
    <row r="206" spans="2:6" x14ac:dyDescent="0.25">
      <c r="B206" s="345"/>
      <c r="C206" s="345"/>
      <c r="D206" s="345"/>
      <c r="E206" s="345"/>
      <c r="F206" s="345"/>
    </row>
    <row r="207" spans="2:6" x14ac:dyDescent="0.25">
      <c r="B207" s="345"/>
      <c r="C207" s="345"/>
      <c r="D207" s="345"/>
      <c r="E207" s="345"/>
      <c r="F207" s="345"/>
    </row>
    <row r="208" spans="2:6" x14ac:dyDescent="0.25">
      <c r="B208" s="345"/>
      <c r="C208" s="345"/>
      <c r="D208" s="345"/>
      <c r="E208" s="345"/>
      <c r="F208" s="345"/>
    </row>
    <row r="209" spans="2:6" x14ac:dyDescent="0.25">
      <c r="B209" s="345"/>
      <c r="C209" s="345"/>
      <c r="D209" s="345"/>
      <c r="E209" s="345"/>
      <c r="F209" s="345"/>
    </row>
    <row r="210" spans="2:6" x14ac:dyDescent="0.25">
      <c r="B210" s="345"/>
      <c r="C210" s="345"/>
      <c r="D210" s="345"/>
      <c r="E210" s="345"/>
      <c r="F210" s="345"/>
    </row>
    <row r="211" spans="2:6" x14ac:dyDescent="0.25">
      <c r="B211" s="345"/>
      <c r="C211" s="345"/>
      <c r="D211" s="345"/>
      <c r="E211" s="345"/>
      <c r="F211" s="345"/>
    </row>
    <row r="212" spans="2:6" x14ac:dyDescent="0.25">
      <c r="B212" s="345"/>
      <c r="C212" s="345"/>
      <c r="D212" s="345"/>
      <c r="E212" s="345"/>
      <c r="F212" s="345"/>
    </row>
    <row r="213" spans="2:6" x14ac:dyDescent="0.25">
      <c r="B213" s="345"/>
      <c r="C213" s="345"/>
      <c r="D213" s="345"/>
      <c r="E213" s="345"/>
      <c r="F213" s="345"/>
    </row>
    <row r="214" spans="2:6" x14ac:dyDescent="0.25">
      <c r="B214" s="345"/>
      <c r="C214" s="345"/>
      <c r="D214" s="345"/>
      <c r="E214" s="345"/>
      <c r="F214" s="345"/>
    </row>
    <row r="215" spans="2:6" x14ac:dyDescent="0.25">
      <c r="B215" s="345"/>
      <c r="C215" s="345"/>
      <c r="D215" s="345"/>
      <c r="E215" s="345"/>
      <c r="F215" s="345"/>
    </row>
    <row r="216" spans="2:6" x14ac:dyDescent="0.25">
      <c r="B216" s="345"/>
      <c r="C216" s="345"/>
      <c r="D216" s="345"/>
      <c r="E216" s="345"/>
      <c r="F216" s="345"/>
    </row>
    <row r="217" spans="2:6" x14ac:dyDescent="0.25">
      <c r="B217" s="345"/>
      <c r="C217" s="345"/>
      <c r="D217" s="345"/>
      <c r="E217" s="345"/>
      <c r="F217" s="345"/>
    </row>
    <row r="218" spans="2:6" x14ac:dyDescent="0.25">
      <c r="B218" s="345"/>
      <c r="C218" s="345"/>
      <c r="D218" s="345"/>
      <c r="E218" s="345"/>
      <c r="F218" s="345"/>
    </row>
    <row r="219" spans="2:6" x14ac:dyDescent="0.25">
      <c r="B219" s="345"/>
      <c r="C219" s="345"/>
      <c r="D219" s="345"/>
      <c r="E219" s="345"/>
      <c r="F219" s="345"/>
    </row>
    <row r="220" spans="2:6" x14ac:dyDescent="0.25">
      <c r="B220" s="345"/>
      <c r="C220" s="345"/>
      <c r="D220" s="345"/>
      <c r="E220" s="345"/>
      <c r="F220" s="345"/>
    </row>
    <row r="221" spans="2:6" x14ac:dyDescent="0.25">
      <c r="B221" s="345"/>
      <c r="C221" s="345"/>
      <c r="D221" s="345"/>
      <c r="E221" s="345"/>
      <c r="F221" s="345"/>
    </row>
    <row r="222" spans="2:6" x14ac:dyDescent="0.25">
      <c r="B222" s="345"/>
      <c r="C222" s="345"/>
      <c r="D222" s="345"/>
      <c r="E222" s="345"/>
      <c r="F222" s="345"/>
    </row>
    <row r="223" spans="2:6" x14ac:dyDescent="0.25">
      <c r="B223" s="345"/>
      <c r="C223" s="345"/>
      <c r="D223" s="345"/>
      <c r="E223" s="345"/>
      <c r="F223" s="345"/>
    </row>
    <row r="224" spans="2:6" x14ac:dyDescent="0.25">
      <c r="B224" s="345"/>
      <c r="C224" s="345"/>
      <c r="D224" s="345"/>
      <c r="E224" s="345"/>
      <c r="F224" s="345"/>
    </row>
    <row r="225" spans="2:6" x14ac:dyDescent="0.25">
      <c r="B225" s="345"/>
      <c r="C225" s="345"/>
      <c r="D225" s="345"/>
      <c r="E225" s="345"/>
      <c r="F225" s="345"/>
    </row>
    <row r="226" spans="2:6" x14ac:dyDescent="0.25">
      <c r="B226" s="345"/>
      <c r="C226" s="345"/>
      <c r="D226" s="345"/>
      <c r="E226" s="345"/>
      <c r="F226" s="345"/>
    </row>
    <row r="227" spans="2:6" x14ac:dyDescent="0.25">
      <c r="B227" s="345"/>
      <c r="C227" s="345"/>
      <c r="D227" s="345"/>
      <c r="E227" s="345"/>
      <c r="F227" s="345"/>
    </row>
    <row r="228" spans="2:6" x14ac:dyDescent="0.25">
      <c r="B228" s="345"/>
      <c r="C228" s="345"/>
      <c r="D228" s="345"/>
      <c r="E228" s="345"/>
      <c r="F228" s="345"/>
    </row>
    <row r="229" spans="2:6" x14ac:dyDescent="0.25">
      <c r="B229" s="345"/>
      <c r="C229" s="345"/>
      <c r="D229" s="345"/>
      <c r="E229" s="345"/>
      <c r="F229" s="345"/>
    </row>
    <row r="230" spans="2:6" x14ac:dyDescent="0.25">
      <c r="B230" s="345"/>
      <c r="C230" s="345"/>
      <c r="D230" s="345"/>
      <c r="E230" s="345"/>
      <c r="F230" s="345"/>
    </row>
    <row r="231" spans="2:6" x14ac:dyDescent="0.25">
      <c r="B231" s="345"/>
      <c r="C231" s="345"/>
      <c r="D231" s="345"/>
      <c r="E231" s="345"/>
      <c r="F231" s="345"/>
    </row>
    <row r="232" spans="2:6" x14ac:dyDescent="0.25">
      <c r="B232" s="345"/>
      <c r="C232" s="345"/>
      <c r="D232" s="345"/>
      <c r="E232" s="345"/>
      <c r="F232" s="345"/>
    </row>
    <row r="233" spans="2:6" x14ac:dyDescent="0.25">
      <c r="B233" s="345"/>
      <c r="C233" s="345"/>
      <c r="D233" s="345"/>
      <c r="E233" s="345"/>
      <c r="F233" s="345"/>
    </row>
    <row r="234" spans="2:6" x14ac:dyDescent="0.25">
      <c r="B234" s="345"/>
      <c r="C234" s="345"/>
      <c r="D234" s="345"/>
      <c r="E234" s="345"/>
      <c r="F234" s="345"/>
    </row>
    <row r="235" spans="2:6" x14ac:dyDescent="0.25">
      <c r="B235" s="345"/>
      <c r="C235" s="345"/>
      <c r="D235" s="345"/>
      <c r="E235" s="345"/>
      <c r="F235" s="345"/>
    </row>
    <row r="236" spans="2:6" x14ac:dyDescent="0.25">
      <c r="B236" s="345"/>
      <c r="C236" s="345"/>
      <c r="D236" s="345"/>
      <c r="E236" s="345"/>
      <c r="F236" s="345"/>
    </row>
    <row r="237" spans="2:6" x14ac:dyDescent="0.25">
      <c r="B237" s="345"/>
      <c r="C237" s="345"/>
      <c r="D237" s="345"/>
      <c r="E237" s="345"/>
      <c r="F237" s="345"/>
    </row>
    <row r="238" spans="2:6" x14ac:dyDescent="0.25">
      <c r="B238" s="345"/>
      <c r="C238" s="345"/>
      <c r="D238" s="345"/>
      <c r="E238" s="345"/>
      <c r="F238" s="345"/>
    </row>
    <row r="239" spans="2:6" x14ac:dyDescent="0.25">
      <c r="B239" s="345"/>
      <c r="C239" s="345"/>
      <c r="D239" s="345"/>
      <c r="E239" s="345"/>
      <c r="F239" s="345"/>
    </row>
    <row r="240" spans="2:6" x14ac:dyDescent="0.25">
      <c r="B240" s="345"/>
      <c r="C240" s="345"/>
      <c r="D240" s="345"/>
      <c r="E240" s="345"/>
      <c r="F240" s="345"/>
    </row>
    <row r="241" spans="2:6" x14ac:dyDescent="0.25">
      <c r="B241" s="345"/>
      <c r="C241" s="345"/>
      <c r="D241" s="345"/>
      <c r="E241" s="345"/>
      <c r="F241" s="345"/>
    </row>
    <row r="242" spans="2:6" x14ac:dyDescent="0.25">
      <c r="B242" s="345"/>
      <c r="C242" s="345"/>
      <c r="D242" s="345"/>
      <c r="E242" s="345"/>
      <c r="F242" s="345"/>
    </row>
    <row r="243" spans="2:6" x14ac:dyDescent="0.25">
      <c r="B243" s="345"/>
      <c r="C243" s="345"/>
      <c r="D243" s="345"/>
      <c r="E243" s="345"/>
      <c r="F243" s="345"/>
    </row>
    <row r="244" spans="2:6" x14ac:dyDescent="0.25">
      <c r="B244" s="345"/>
      <c r="C244" s="345"/>
      <c r="D244" s="345"/>
      <c r="E244" s="345"/>
      <c r="F244" s="345"/>
    </row>
    <row r="245" spans="2:6" x14ac:dyDescent="0.25">
      <c r="B245" s="345"/>
      <c r="C245" s="345"/>
      <c r="D245" s="345"/>
      <c r="E245" s="345"/>
      <c r="F245" s="345"/>
    </row>
    <row r="246" spans="2:6" x14ac:dyDescent="0.25">
      <c r="B246" s="345"/>
      <c r="C246" s="345"/>
      <c r="D246" s="345"/>
      <c r="E246" s="345"/>
      <c r="F246" s="345"/>
    </row>
    <row r="247" spans="2:6" x14ac:dyDescent="0.25">
      <c r="B247" s="345"/>
      <c r="C247" s="345"/>
      <c r="D247" s="345"/>
      <c r="E247" s="345"/>
      <c r="F247" s="345"/>
    </row>
    <row r="248" spans="2:6" x14ac:dyDescent="0.25">
      <c r="B248" s="345"/>
      <c r="C248" s="345"/>
      <c r="D248" s="345"/>
      <c r="E248" s="345"/>
      <c r="F248" s="345"/>
    </row>
    <row r="249" spans="2:6" x14ac:dyDescent="0.25">
      <c r="B249" s="345"/>
      <c r="C249" s="345"/>
      <c r="D249" s="345"/>
      <c r="E249" s="345"/>
      <c r="F249" s="345"/>
    </row>
    <row r="250" spans="2:6" x14ac:dyDescent="0.25">
      <c r="B250" s="345"/>
      <c r="C250" s="345"/>
      <c r="D250" s="345"/>
      <c r="E250" s="345"/>
      <c r="F250" s="345"/>
    </row>
    <row r="251" spans="2:6" x14ac:dyDescent="0.25">
      <c r="B251" s="345"/>
      <c r="C251" s="345"/>
      <c r="D251" s="345"/>
      <c r="E251" s="345"/>
      <c r="F251" s="345"/>
    </row>
    <row r="252" spans="2:6" x14ac:dyDescent="0.25">
      <c r="B252" s="345"/>
      <c r="C252" s="345"/>
      <c r="D252" s="345"/>
      <c r="E252" s="345"/>
      <c r="F252" s="345"/>
    </row>
    <row r="253" spans="2:6" x14ac:dyDescent="0.25">
      <c r="B253" s="345"/>
      <c r="C253" s="345"/>
      <c r="D253" s="345"/>
      <c r="E253" s="345"/>
      <c r="F253" s="345"/>
    </row>
    <row r="254" spans="2:6" x14ac:dyDescent="0.25">
      <c r="B254" s="345"/>
      <c r="C254" s="345"/>
      <c r="D254" s="345"/>
      <c r="E254" s="345"/>
      <c r="F254" s="345"/>
    </row>
    <row r="255" spans="2:6" x14ac:dyDescent="0.25">
      <c r="B255" s="345"/>
      <c r="C255" s="345"/>
      <c r="D255" s="345"/>
      <c r="E255" s="345"/>
      <c r="F255" s="345"/>
    </row>
    <row r="256" spans="2:6" x14ac:dyDescent="0.25">
      <c r="B256" s="345"/>
      <c r="C256" s="345"/>
      <c r="D256" s="345"/>
      <c r="E256" s="345"/>
      <c r="F256" s="345"/>
    </row>
    <row r="257" spans="2:6" x14ac:dyDescent="0.25">
      <c r="B257" s="345"/>
      <c r="C257" s="345"/>
      <c r="D257" s="345"/>
      <c r="E257" s="345"/>
      <c r="F257" s="345"/>
    </row>
    <row r="258" spans="2:6" x14ac:dyDescent="0.25">
      <c r="B258" s="345"/>
      <c r="C258" s="345"/>
      <c r="D258" s="345"/>
      <c r="E258" s="345"/>
      <c r="F258" s="345"/>
    </row>
    <row r="259" spans="2:6" x14ac:dyDescent="0.25">
      <c r="B259" s="345"/>
      <c r="C259" s="345"/>
      <c r="D259" s="345"/>
      <c r="E259" s="345"/>
      <c r="F259" s="345"/>
    </row>
    <row r="260" spans="2:6" x14ac:dyDescent="0.25">
      <c r="B260" s="345"/>
      <c r="C260" s="345"/>
      <c r="D260" s="345"/>
      <c r="E260" s="345"/>
      <c r="F260" s="345"/>
    </row>
    <row r="261" spans="2:6" x14ac:dyDescent="0.25">
      <c r="B261" s="345"/>
      <c r="C261" s="345"/>
      <c r="D261" s="345"/>
      <c r="E261" s="345"/>
      <c r="F261" s="345"/>
    </row>
    <row r="262" spans="2:6" x14ac:dyDescent="0.25">
      <c r="B262" s="345"/>
      <c r="C262" s="345"/>
      <c r="D262" s="345"/>
      <c r="E262" s="345"/>
      <c r="F262" s="345"/>
    </row>
    <row r="263" spans="2:6" x14ac:dyDescent="0.25">
      <c r="B263" s="345"/>
      <c r="C263" s="345"/>
      <c r="D263" s="345"/>
      <c r="E263" s="345"/>
      <c r="F263" s="345"/>
    </row>
    <row r="264" spans="2:6" x14ac:dyDescent="0.25">
      <c r="B264" s="345"/>
      <c r="C264" s="345"/>
      <c r="D264" s="345"/>
      <c r="E264" s="345"/>
      <c r="F264" s="345"/>
    </row>
    <row r="265" spans="2:6" x14ac:dyDescent="0.25">
      <c r="B265" s="345"/>
      <c r="C265" s="345"/>
      <c r="D265" s="345"/>
      <c r="E265" s="345"/>
      <c r="F265" s="345"/>
    </row>
    <row r="266" spans="2:6" x14ac:dyDescent="0.25">
      <c r="B266" s="345"/>
      <c r="C266" s="345"/>
      <c r="D266" s="345"/>
      <c r="E266" s="345"/>
      <c r="F266" s="345"/>
    </row>
    <row r="267" spans="2:6" x14ac:dyDescent="0.25">
      <c r="B267" s="345"/>
      <c r="C267" s="345"/>
      <c r="D267" s="345"/>
      <c r="E267" s="345"/>
      <c r="F267" s="345"/>
    </row>
    <row r="268" spans="2:6" x14ac:dyDescent="0.25">
      <c r="B268" s="345"/>
      <c r="C268" s="345"/>
      <c r="D268" s="345"/>
      <c r="E268" s="345"/>
      <c r="F268" s="345"/>
    </row>
    <row r="269" spans="2:6" x14ac:dyDescent="0.25">
      <c r="B269" s="345"/>
      <c r="C269" s="345"/>
      <c r="D269" s="345"/>
      <c r="E269" s="345"/>
      <c r="F269" s="345"/>
    </row>
    <row r="270" spans="2:6" x14ac:dyDescent="0.25">
      <c r="B270" s="345"/>
      <c r="C270" s="345"/>
      <c r="D270" s="345"/>
      <c r="E270" s="345"/>
      <c r="F270" s="345"/>
    </row>
    <row r="271" spans="2:6" x14ac:dyDescent="0.25">
      <c r="B271" s="345"/>
      <c r="C271" s="345"/>
      <c r="D271" s="345"/>
      <c r="E271" s="345"/>
      <c r="F271" s="345"/>
    </row>
    <row r="272" spans="2:6" x14ac:dyDescent="0.25">
      <c r="B272" s="345"/>
      <c r="C272" s="345"/>
      <c r="D272" s="345"/>
      <c r="E272" s="345"/>
      <c r="F272" s="345"/>
    </row>
    <row r="273" spans="2:6" x14ac:dyDescent="0.25">
      <c r="B273" s="345"/>
      <c r="C273" s="345"/>
      <c r="D273" s="345"/>
      <c r="E273" s="345"/>
      <c r="F273" s="345"/>
    </row>
    <row r="274" spans="2:6" x14ac:dyDescent="0.25">
      <c r="B274" s="345"/>
      <c r="C274" s="345"/>
      <c r="D274" s="345"/>
      <c r="E274" s="345"/>
      <c r="F274" s="345"/>
    </row>
    <row r="275" spans="2:6" x14ac:dyDescent="0.25">
      <c r="B275" s="345"/>
      <c r="C275" s="345"/>
      <c r="D275" s="345"/>
      <c r="E275" s="345"/>
      <c r="F275" s="345"/>
    </row>
    <row r="276" spans="2:6" x14ac:dyDescent="0.25">
      <c r="B276" s="345"/>
      <c r="C276" s="345"/>
      <c r="D276" s="345"/>
      <c r="E276" s="345"/>
      <c r="F276" s="345"/>
    </row>
    <row r="277" spans="2:6" x14ac:dyDescent="0.25">
      <c r="B277" s="345"/>
      <c r="C277" s="345"/>
      <c r="D277" s="345"/>
      <c r="E277" s="345"/>
      <c r="F277" s="345"/>
    </row>
    <row r="278" spans="2:6" x14ac:dyDescent="0.25">
      <c r="B278" s="345"/>
      <c r="C278" s="345"/>
      <c r="D278" s="345"/>
      <c r="E278" s="345"/>
      <c r="F278" s="345"/>
    </row>
    <row r="279" spans="2:6" x14ac:dyDescent="0.25">
      <c r="B279" s="345"/>
      <c r="C279" s="345"/>
      <c r="D279" s="345"/>
      <c r="E279" s="345"/>
      <c r="F279" s="345"/>
    </row>
    <row r="280" spans="2:6" x14ac:dyDescent="0.25">
      <c r="B280" s="345"/>
      <c r="C280" s="345"/>
      <c r="D280" s="345"/>
      <c r="E280" s="345"/>
      <c r="F280" s="345"/>
    </row>
    <row r="281" spans="2:6" x14ac:dyDescent="0.25">
      <c r="B281" s="345"/>
      <c r="C281" s="345"/>
      <c r="D281" s="345"/>
      <c r="E281" s="345"/>
      <c r="F281" s="345"/>
    </row>
    <row r="282" spans="2:6" x14ac:dyDescent="0.25">
      <c r="B282" s="345"/>
      <c r="C282" s="345"/>
      <c r="D282" s="345"/>
      <c r="E282" s="345"/>
      <c r="F282" s="345"/>
    </row>
    <row r="283" spans="2:6" x14ac:dyDescent="0.25">
      <c r="B283" s="345"/>
      <c r="C283" s="345"/>
      <c r="D283" s="345"/>
      <c r="E283" s="345"/>
      <c r="F283" s="345"/>
    </row>
    <row r="284" spans="2:6" x14ac:dyDescent="0.25">
      <c r="B284" s="345"/>
      <c r="C284" s="345"/>
      <c r="D284" s="345"/>
      <c r="E284" s="345"/>
      <c r="F284" s="345"/>
    </row>
    <row r="285" spans="2:6" x14ac:dyDescent="0.25">
      <c r="B285" s="345"/>
      <c r="C285" s="345"/>
      <c r="D285" s="345"/>
      <c r="E285" s="345"/>
      <c r="F285" s="345"/>
    </row>
    <row r="286" spans="2:6" x14ac:dyDescent="0.25">
      <c r="B286" s="345"/>
      <c r="C286" s="345"/>
      <c r="D286" s="345"/>
      <c r="E286" s="345"/>
      <c r="F286" s="345"/>
    </row>
    <row r="287" spans="2:6" x14ac:dyDescent="0.25">
      <c r="B287" s="345"/>
      <c r="C287" s="345"/>
      <c r="D287" s="345"/>
      <c r="E287" s="345"/>
      <c r="F287" s="345"/>
    </row>
    <row r="288" spans="2:6" x14ac:dyDescent="0.25">
      <c r="B288" s="345"/>
      <c r="C288" s="345"/>
      <c r="D288" s="345"/>
      <c r="E288" s="345"/>
      <c r="F288" s="345"/>
    </row>
    <row r="289" spans="2:6" x14ac:dyDescent="0.25">
      <c r="B289" s="345"/>
      <c r="C289" s="345"/>
      <c r="D289" s="345"/>
      <c r="E289" s="345"/>
      <c r="F289" s="345"/>
    </row>
    <row r="290" spans="2:6" x14ac:dyDescent="0.25">
      <c r="B290" s="345"/>
      <c r="C290" s="345"/>
      <c r="D290" s="345"/>
      <c r="E290" s="345"/>
      <c r="F290" s="345"/>
    </row>
    <row r="291" spans="2:6" x14ac:dyDescent="0.25">
      <c r="B291" s="345"/>
      <c r="C291" s="345"/>
      <c r="D291" s="345"/>
      <c r="E291" s="345"/>
      <c r="F291" s="345"/>
    </row>
    <row r="292" spans="2:6" x14ac:dyDescent="0.25">
      <c r="B292" s="345"/>
      <c r="C292" s="345"/>
      <c r="D292" s="345"/>
      <c r="E292" s="345"/>
      <c r="F292" s="345"/>
    </row>
    <row r="293" spans="2:6" x14ac:dyDescent="0.25">
      <c r="B293" s="345"/>
      <c r="C293" s="345"/>
      <c r="D293" s="345"/>
      <c r="E293" s="345"/>
      <c r="F293" s="345"/>
    </row>
    <row r="294" spans="2:6" x14ac:dyDescent="0.25">
      <c r="B294" s="345"/>
      <c r="C294" s="345"/>
      <c r="D294" s="345"/>
      <c r="E294" s="345"/>
      <c r="F294" s="345"/>
    </row>
    <row r="295" spans="2:6" x14ac:dyDescent="0.25">
      <c r="B295" s="345"/>
      <c r="C295" s="345"/>
      <c r="D295" s="345"/>
      <c r="E295" s="345"/>
      <c r="F295" s="345"/>
    </row>
    <row r="296" spans="2:6" x14ac:dyDescent="0.25">
      <c r="B296" s="345"/>
      <c r="C296" s="345"/>
      <c r="D296" s="345"/>
      <c r="E296" s="345"/>
      <c r="F296" s="345"/>
    </row>
    <row r="297" spans="2:6" x14ac:dyDescent="0.25">
      <c r="B297" s="345"/>
      <c r="C297" s="345"/>
      <c r="D297" s="345"/>
      <c r="E297" s="345"/>
      <c r="F297" s="345"/>
    </row>
    <row r="298" spans="2:6" x14ac:dyDescent="0.25">
      <c r="B298" s="345"/>
      <c r="C298" s="345"/>
      <c r="D298" s="345"/>
      <c r="E298" s="345"/>
      <c r="F298" s="345"/>
    </row>
    <row r="299" spans="2:6" x14ac:dyDescent="0.25">
      <c r="B299" s="345"/>
      <c r="C299" s="345"/>
      <c r="D299" s="345"/>
      <c r="E299" s="345"/>
      <c r="F299" s="345"/>
    </row>
    <row r="300" spans="2:6" x14ac:dyDescent="0.25">
      <c r="B300" s="345"/>
      <c r="C300" s="345"/>
      <c r="D300" s="345"/>
      <c r="E300" s="345"/>
      <c r="F300" s="345"/>
    </row>
    <row r="301" spans="2:6" x14ac:dyDescent="0.25">
      <c r="B301" s="345"/>
      <c r="C301" s="345"/>
      <c r="D301" s="345"/>
      <c r="E301" s="345"/>
      <c r="F301" s="345"/>
    </row>
    <row r="302" spans="2:6" x14ac:dyDescent="0.25">
      <c r="B302" s="345"/>
      <c r="C302" s="345"/>
      <c r="D302" s="345"/>
      <c r="E302" s="345"/>
      <c r="F302" s="345"/>
    </row>
    <row r="303" spans="2:6" x14ac:dyDescent="0.25">
      <c r="B303" s="345"/>
      <c r="C303" s="345"/>
      <c r="D303" s="345"/>
      <c r="E303" s="345"/>
      <c r="F303" s="345"/>
    </row>
    <row r="304" spans="2:6" x14ac:dyDescent="0.25">
      <c r="B304" s="345"/>
      <c r="C304" s="345"/>
      <c r="D304" s="345"/>
      <c r="E304" s="345"/>
      <c r="F304" s="345"/>
    </row>
    <row r="305" spans="2:6" x14ac:dyDescent="0.25">
      <c r="B305" s="345"/>
      <c r="C305" s="345"/>
      <c r="D305" s="345"/>
      <c r="E305" s="345"/>
      <c r="F305" s="345"/>
    </row>
    <row r="306" spans="2:6" x14ac:dyDescent="0.25">
      <c r="B306" s="345"/>
      <c r="C306" s="345"/>
      <c r="D306" s="345"/>
      <c r="E306" s="345"/>
      <c r="F306" s="345"/>
    </row>
    <row r="307" spans="2:6" x14ac:dyDescent="0.25">
      <c r="B307" s="345"/>
      <c r="C307" s="345"/>
      <c r="D307" s="345"/>
      <c r="E307" s="345"/>
      <c r="F307" s="345"/>
    </row>
    <row r="308" spans="2:6" x14ac:dyDescent="0.25">
      <c r="B308" s="345"/>
      <c r="C308" s="345"/>
      <c r="D308" s="345"/>
      <c r="E308" s="345"/>
      <c r="F308" s="345"/>
    </row>
    <row r="309" spans="2:6" x14ac:dyDescent="0.25">
      <c r="B309" s="345"/>
      <c r="C309" s="345"/>
      <c r="D309" s="345"/>
      <c r="E309" s="345"/>
      <c r="F309" s="345"/>
    </row>
    <row r="310" spans="2:6" x14ac:dyDescent="0.25">
      <c r="B310" s="345"/>
      <c r="C310" s="345"/>
      <c r="D310" s="345"/>
      <c r="E310" s="345"/>
      <c r="F310" s="345"/>
    </row>
    <row r="311" spans="2:6" x14ac:dyDescent="0.25">
      <c r="B311" s="345"/>
      <c r="C311" s="345"/>
      <c r="D311" s="345"/>
      <c r="E311" s="345"/>
      <c r="F311" s="345"/>
    </row>
    <row r="312" spans="2:6" x14ac:dyDescent="0.25">
      <c r="B312" s="345"/>
      <c r="C312" s="345"/>
      <c r="D312" s="345"/>
      <c r="E312" s="345"/>
      <c r="F312" s="345"/>
    </row>
    <row r="313" spans="2:6" x14ac:dyDescent="0.25">
      <c r="B313" s="345"/>
      <c r="C313" s="345"/>
      <c r="D313" s="345"/>
      <c r="E313" s="345"/>
      <c r="F313" s="345"/>
    </row>
    <row r="314" spans="2:6" x14ac:dyDescent="0.25">
      <c r="B314" s="345"/>
      <c r="C314" s="345"/>
      <c r="D314" s="345"/>
      <c r="E314" s="345"/>
      <c r="F314" s="345"/>
    </row>
    <row r="315" spans="2:6" x14ac:dyDescent="0.25">
      <c r="B315" s="345"/>
      <c r="C315" s="345"/>
      <c r="D315" s="345"/>
      <c r="E315" s="345"/>
      <c r="F315" s="345"/>
    </row>
    <row r="316" spans="2:6" x14ac:dyDescent="0.25">
      <c r="B316" s="345"/>
      <c r="C316" s="345"/>
      <c r="D316" s="345"/>
      <c r="E316" s="345"/>
      <c r="F316" s="345"/>
    </row>
    <row r="317" spans="2:6" x14ac:dyDescent="0.25">
      <c r="B317" s="345"/>
      <c r="C317" s="345"/>
      <c r="D317" s="345"/>
      <c r="E317" s="345"/>
      <c r="F317" s="345"/>
    </row>
    <row r="318" spans="2:6" x14ac:dyDescent="0.25">
      <c r="B318" s="345"/>
      <c r="C318" s="345"/>
      <c r="D318" s="345"/>
      <c r="E318" s="345"/>
      <c r="F318" s="345"/>
    </row>
    <row r="319" spans="2:6" x14ac:dyDescent="0.25">
      <c r="B319" s="345"/>
      <c r="C319" s="345"/>
      <c r="D319" s="345"/>
      <c r="E319" s="345"/>
      <c r="F319" s="345"/>
    </row>
    <row r="320" spans="2:6" x14ac:dyDescent="0.25">
      <c r="B320" s="345"/>
      <c r="C320" s="345"/>
      <c r="D320" s="345"/>
      <c r="E320" s="345"/>
      <c r="F320" s="345"/>
    </row>
    <row r="321" spans="2:6" x14ac:dyDescent="0.25">
      <c r="B321" s="345"/>
      <c r="C321" s="345"/>
      <c r="D321" s="345"/>
      <c r="E321" s="345"/>
      <c r="F321" s="345"/>
    </row>
    <row r="322" spans="2:6" x14ac:dyDescent="0.25">
      <c r="B322" s="345"/>
      <c r="C322" s="345"/>
      <c r="D322" s="345"/>
      <c r="E322" s="345"/>
      <c r="F322" s="345"/>
    </row>
    <row r="323" spans="2:6" x14ac:dyDescent="0.25">
      <c r="B323" s="345"/>
      <c r="C323" s="345"/>
      <c r="D323" s="345"/>
      <c r="E323" s="345"/>
      <c r="F323" s="345"/>
    </row>
    <row r="324" spans="2:6" x14ac:dyDescent="0.25">
      <c r="B324" s="345"/>
      <c r="C324" s="345"/>
      <c r="D324" s="345"/>
      <c r="E324" s="345"/>
      <c r="F324" s="345"/>
    </row>
    <row r="325" spans="2:6" x14ac:dyDescent="0.25">
      <c r="B325" s="345"/>
      <c r="C325" s="345"/>
      <c r="D325" s="345"/>
      <c r="E325" s="345"/>
      <c r="F325" s="345"/>
    </row>
    <row r="326" spans="2:6" x14ac:dyDescent="0.25">
      <c r="B326" s="345"/>
      <c r="C326" s="345"/>
      <c r="D326" s="345"/>
      <c r="E326" s="345"/>
      <c r="F326" s="345"/>
    </row>
    <row r="327" spans="2:6" x14ac:dyDescent="0.25">
      <c r="B327" s="345"/>
      <c r="C327" s="345"/>
      <c r="D327" s="345"/>
      <c r="E327" s="345"/>
      <c r="F327" s="345"/>
    </row>
    <row r="328" spans="2:6" x14ac:dyDescent="0.25">
      <c r="B328" s="345"/>
      <c r="C328" s="345"/>
      <c r="D328" s="345"/>
      <c r="E328" s="345"/>
      <c r="F328" s="345"/>
    </row>
    <row r="329" spans="2:6" x14ac:dyDescent="0.25">
      <c r="B329" s="345"/>
      <c r="C329" s="345"/>
      <c r="D329" s="345"/>
      <c r="E329" s="345"/>
      <c r="F329" s="345"/>
    </row>
    <row r="330" spans="2:6" x14ac:dyDescent="0.25">
      <c r="B330" s="345"/>
      <c r="C330" s="345"/>
      <c r="D330" s="345"/>
      <c r="E330" s="345"/>
      <c r="F330" s="345"/>
    </row>
    <row r="331" spans="2:6" x14ac:dyDescent="0.25">
      <c r="B331" s="345"/>
      <c r="C331" s="345"/>
      <c r="D331" s="345"/>
      <c r="E331" s="345"/>
      <c r="F331" s="345"/>
    </row>
    <row r="332" spans="2:6" x14ac:dyDescent="0.25">
      <c r="B332" s="345"/>
      <c r="C332" s="345"/>
      <c r="D332" s="345"/>
      <c r="E332" s="345"/>
      <c r="F332" s="345"/>
    </row>
    <row r="333" spans="2:6" x14ac:dyDescent="0.25">
      <c r="B333" s="345"/>
      <c r="C333" s="345"/>
      <c r="D333" s="345"/>
      <c r="E333" s="345"/>
      <c r="F333" s="345"/>
    </row>
    <row r="334" spans="2:6" x14ac:dyDescent="0.25">
      <c r="B334" s="345"/>
      <c r="C334" s="345"/>
      <c r="D334" s="345"/>
      <c r="E334" s="345"/>
      <c r="F334" s="345"/>
    </row>
    <row r="335" spans="2:6" x14ac:dyDescent="0.25">
      <c r="B335" s="345"/>
      <c r="C335" s="345"/>
      <c r="D335" s="345"/>
      <c r="E335" s="345"/>
      <c r="F335" s="345"/>
    </row>
    <row r="336" spans="2:6" x14ac:dyDescent="0.25">
      <c r="B336" s="345"/>
      <c r="C336" s="345"/>
      <c r="D336" s="345"/>
      <c r="E336" s="345"/>
      <c r="F336" s="345"/>
    </row>
    <row r="337" spans="2:6" x14ac:dyDescent="0.25">
      <c r="B337" s="345"/>
      <c r="C337" s="345"/>
      <c r="D337" s="345"/>
      <c r="E337" s="345"/>
      <c r="F337" s="345"/>
    </row>
    <row r="338" spans="2:6" x14ac:dyDescent="0.25">
      <c r="B338" s="345"/>
      <c r="C338" s="345"/>
      <c r="D338" s="345"/>
      <c r="E338" s="345"/>
      <c r="F338" s="345"/>
    </row>
    <row r="339" spans="2:6" x14ac:dyDescent="0.25">
      <c r="B339" s="345"/>
      <c r="C339" s="345"/>
      <c r="D339" s="345"/>
      <c r="E339" s="345"/>
      <c r="F339" s="345"/>
    </row>
    <row r="340" spans="2:6" x14ac:dyDescent="0.25">
      <c r="B340" s="345"/>
      <c r="C340" s="345"/>
      <c r="D340" s="345"/>
      <c r="E340" s="345"/>
      <c r="F340" s="345"/>
    </row>
    <row r="341" spans="2:6" x14ac:dyDescent="0.25">
      <c r="B341" s="345"/>
      <c r="C341" s="345"/>
      <c r="D341" s="345"/>
      <c r="E341" s="345"/>
      <c r="F341" s="345"/>
    </row>
    <row r="342" spans="2:6" x14ac:dyDescent="0.25">
      <c r="B342" s="345"/>
      <c r="C342" s="345"/>
      <c r="D342" s="345"/>
      <c r="E342" s="345"/>
      <c r="F342" s="345"/>
    </row>
    <row r="343" spans="2:6" x14ac:dyDescent="0.25">
      <c r="B343" s="345"/>
      <c r="C343" s="345"/>
      <c r="D343" s="345"/>
      <c r="E343" s="345"/>
      <c r="F343" s="345"/>
    </row>
    <row r="344" spans="2:6" x14ac:dyDescent="0.25">
      <c r="B344" s="345"/>
      <c r="C344" s="345"/>
      <c r="D344" s="345"/>
      <c r="E344" s="345"/>
      <c r="F344" s="345"/>
    </row>
    <row r="345" spans="2:6" x14ac:dyDescent="0.25">
      <c r="B345" s="345"/>
      <c r="C345" s="345"/>
      <c r="D345" s="345"/>
      <c r="E345" s="345"/>
      <c r="F345" s="345"/>
    </row>
    <row r="346" spans="2:6" x14ac:dyDescent="0.25">
      <c r="B346" s="345"/>
      <c r="C346" s="345"/>
      <c r="D346" s="345"/>
      <c r="E346" s="345"/>
      <c r="F346" s="345"/>
    </row>
    <row r="347" spans="2:6" x14ac:dyDescent="0.25">
      <c r="B347" s="345"/>
      <c r="C347" s="345"/>
      <c r="D347" s="345"/>
      <c r="E347" s="345"/>
      <c r="F347" s="345"/>
    </row>
    <row r="348" spans="2:6" x14ac:dyDescent="0.25">
      <c r="B348" s="345"/>
      <c r="C348" s="345"/>
      <c r="D348" s="345"/>
      <c r="E348" s="345"/>
      <c r="F348" s="345"/>
    </row>
    <row r="349" spans="2:6" x14ac:dyDescent="0.25">
      <c r="B349" s="345"/>
      <c r="C349" s="345"/>
      <c r="D349" s="345"/>
      <c r="E349" s="345"/>
      <c r="F349" s="345"/>
    </row>
    <row r="350" spans="2:6" x14ac:dyDescent="0.25">
      <c r="B350" s="345"/>
      <c r="C350" s="345"/>
      <c r="D350" s="345"/>
      <c r="E350" s="345"/>
      <c r="F350" s="345"/>
    </row>
    <row r="351" spans="2:6" x14ac:dyDescent="0.25">
      <c r="B351" s="345"/>
      <c r="C351" s="345"/>
      <c r="D351" s="345"/>
      <c r="E351" s="345"/>
      <c r="F351" s="345"/>
    </row>
    <row r="352" spans="2:6" x14ac:dyDescent="0.25">
      <c r="B352" s="345"/>
      <c r="C352" s="345"/>
      <c r="D352" s="345"/>
      <c r="E352" s="345"/>
      <c r="F352" s="345"/>
    </row>
    <row r="353" spans="2:6" x14ac:dyDescent="0.25">
      <c r="B353" s="345"/>
      <c r="C353" s="345"/>
      <c r="D353" s="345"/>
      <c r="E353" s="345"/>
      <c r="F353" s="345"/>
    </row>
    <row r="354" spans="2:6" x14ac:dyDescent="0.25">
      <c r="B354" s="345"/>
      <c r="C354" s="345"/>
      <c r="D354" s="345"/>
      <c r="E354" s="345"/>
      <c r="F354" s="345"/>
    </row>
    <row r="355" spans="2:6" x14ac:dyDescent="0.25">
      <c r="B355" s="345"/>
      <c r="C355" s="345"/>
      <c r="D355" s="345"/>
      <c r="E355" s="345"/>
      <c r="F355" s="345"/>
    </row>
    <row r="356" spans="2:6" x14ac:dyDescent="0.25">
      <c r="B356" s="345"/>
      <c r="C356" s="345"/>
      <c r="D356" s="345"/>
      <c r="E356" s="345"/>
      <c r="F356" s="345"/>
    </row>
    <row r="357" spans="2:6" x14ac:dyDescent="0.25">
      <c r="B357" s="345"/>
      <c r="C357" s="345"/>
      <c r="D357" s="345"/>
      <c r="E357" s="345"/>
      <c r="F357" s="345"/>
    </row>
    <row r="358" spans="2:6" x14ac:dyDescent="0.25">
      <c r="B358" s="345"/>
      <c r="C358" s="345"/>
      <c r="D358" s="345"/>
      <c r="E358" s="345"/>
      <c r="F358" s="345"/>
    </row>
    <row r="359" spans="2:6" x14ac:dyDescent="0.25">
      <c r="B359" s="345"/>
      <c r="C359" s="345"/>
      <c r="D359" s="345"/>
      <c r="E359" s="345"/>
      <c r="F359" s="345"/>
    </row>
    <row r="360" spans="2:6" x14ac:dyDescent="0.25">
      <c r="B360" s="345"/>
      <c r="C360" s="345"/>
      <c r="D360" s="345"/>
      <c r="E360" s="345"/>
      <c r="F360" s="345"/>
    </row>
    <row r="361" spans="2:6" x14ac:dyDescent="0.25">
      <c r="B361" s="345"/>
      <c r="C361" s="345"/>
      <c r="D361" s="345"/>
      <c r="E361" s="345"/>
      <c r="F361" s="345"/>
    </row>
    <row r="362" spans="2:6" x14ac:dyDescent="0.25">
      <c r="B362" s="345"/>
      <c r="C362" s="345"/>
      <c r="D362" s="345"/>
      <c r="E362" s="345"/>
      <c r="F362" s="345"/>
    </row>
    <row r="363" spans="2:6" x14ac:dyDescent="0.25">
      <c r="B363" s="345"/>
      <c r="C363" s="345"/>
      <c r="D363" s="345"/>
      <c r="E363" s="345"/>
      <c r="F363" s="345"/>
    </row>
    <row r="364" spans="2:6" x14ac:dyDescent="0.25">
      <c r="B364" s="345"/>
      <c r="C364" s="345"/>
      <c r="D364" s="345"/>
      <c r="E364" s="345"/>
      <c r="F364" s="345"/>
    </row>
    <row r="365" spans="2:6" x14ac:dyDescent="0.25">
      <c r="B365" s="345"/>
      <c r="C365" s="345"/>
      <c r="D365" s="345"/>
      <c r="E365" s="345"/>
      <c r="F365" s="345"/>
    </row>
    <row r="366" spans="2:6" x14ac:dyDescent="0.25">
      <c r="B366" s="345"/>
      <c r="C366" s="345"/>
      <c r="D366" s="345"/>
      <c r="E366" s="345"/>
      <c r="F366" s="345"/>
    </row>
    <row r="367" spans="2:6" x14ac:dyDescent="0.25">
      <c r="B367" s="345"/>
      <c r="C367" s="345"/>
      <c r="D367" s="345"/>
      <c r="E367" s="345"/>
      <c r="F367" s="345"/>
    </row>
    <row r="368" spans="2:6" x14ac:dyDescent="0.25">
      <c r="B368" s="345"/>
      <c r="C368" s="345"/>
      <c r="D368" s="345"/>
      <c r="E368" s="345"/>
      <c r="F368" s="345"/>
    </row>
    <row r="369" spans="2:6" x14ac:dyDescent="0.25">
      <c r="B369" s="345"/>
      <c r="C369" s="345"/>
      <c r="D369" s="345"/>
      <c r="E369" s="345"/>
      <c r="F369" s="345"/>
    </row>
    <row r="370" spans="2:6" x14ac:dyDescent="0.25">
      <c r="B370" s="345"/>
      <c r="C370" s="345"/>
      <c r="D370" s="345"/>
      <c r="E370" s="345"/>
      <c r="F370" s="345"/>
    </row>
    <row r="371" spans="2:6" x14ac:dyDescent="0.25">
      <c r="B371" s="345"/>
      <c r="C371" s="345"/>
      <c r="D371" s="345"/>
      <c r="E371" s="345"/>
      <c r="F371" s="345"/>
    </row>
    <row r="372" spans="2:6" x14ac:dyDescent="0.25">
      <c r="B372" s="345"/>
      <c r="C372" s="345"/>
      <c r="D372" s="345"/>
      <c r="E372" s="345"/>
      <c r="F372" s="345"/>
    </row>
    <row r="373" spans="2:6" x14ac:dyDescent="0.25">
      <c r="B373" s="345"/>
      <c r="C373" s="345"/>
      <c r="D373" s="345"/>
      <c r="E373" s="345"/>
      <c r="F373" s="345"/>
    </row>
    <row r="374" spans="2:6" x14ac:dyDescent="0.25">
      <c r="B374" s="345"/>
      <c r="C374" s="345"/>
      <c r="D374" s="345"/>
      <c r="E374" s="345"/>
      <c r="F374" s="345"/>
    </row>
    <row r="375" spans="2:6" x14ac:dyDescent="0.25">
      <c r="B375" s="345"/>
      <c r="C375" s="345"/>
      <c r="D375" s="345"/>
      <c r="E375" s="345"/>
      <c r="F375" s="345"/>
    </row>
    <row r="376" spans="2:6" x14ac:dyDescent="0.25">
      <c r="B376" s="345"/>
      <c r="C376" s="345"/>
      <c r="D376" s="345"/>
      <c r="E376" s="345"/>
      <c r="F376" s="345"/>
    </row>
    <row r="377" spans="2:6" x14ac:dyDescent="0.25">
      <c r="B377" s="345"/>
      <c r="C377" s="345"/>
      <c r="D377" s="345"/>
      <c r="E377" s="345"/>
      <c r="F377" s="345"/>
    </row>
    <row r="378" spans="2:6" x14ac:dyDescent="0.25">
      <c r="B378" s="345"/>
      <c r="C378" s="345"/>
      <c r="D378" s="345"/>
      <c r="E378" s="345"/>
      <c r="F378" s="345"/>
    </row>
    <row r="379" spans="2:6" x14ac:dyDescent="0.25">
      <c r="B379" s="345"/>
      <c r="C379" s="345"/>
      <c r="D379" s="345"/>
      <c r="E379" s="345"/>
      <c r="F379" s="345"/>
    </row>
    <row r="380" spans="2:6" x14ac:dyDescent="0.25">
      <c r="B380" s="345"/>
      <c r="C380" s="345"/>
      <c r="D380" s="345"/>
      <c r="E380" s="345"/>
      <c r="F380" s="345"/>
    </row>
    <row r="381" spans="2:6" x14ac:dyDescent="0.25">
      <c r="B381" s="345"/>
      <c r="C381" s="345"/>
      <c r="D381" s="345"/>
      <c r="E381" s="345"/>
      <c r="F381" s="345"/>
    </row>
    <row r="382" spans="2:6" x14ac:dyDescent="0.25">
      <c r="B382" s="345"/>
      <c r="C382" s="345"/>
      <c r="D382" s="345"/>
      <c r="E382" s="345"/>
      <c r="F382" s="345"/>
    </row>
    <row r="383" spans="2:6" x14ac:dyDescent="0.25">
      <c r="B383" s="345"/>
      <c r="C383" s="345"/>
      <c r="D383" s="345"/>
      <c r="E383" s="345"/>
      <c r="F383" s="345"/>
    </row>
    <row r="384" spans="2:6" x14ac:dyDescent="0.25">
      <c r="B384" s="345"/>
      <c r="C384" s="345"/>
      <c r="D384" s="345"/>
      <c r="E384" s="345"/>
      <c r="F384" s="345"/>
    </row>
    <row r="385" spans="2:6" x14ac:dyDescent="0.25">
      <c r="B385" s="345"/>
      <c r="C385" s="345"/>
      <c r="D385" s="345"/>
      <c r="E385" s="345"/>
      <c r="F385" s="345"/>
    </row>
    <row r="386" spans="2:6" x14ac:dyDescent="0.25">
      <c r="B386" s="345"/>
      <c r="C386" s="345"/>
      <c r="D386" s="345"/>
      <c r="E386" s="345"/>
      <c r="F386" s="345"/>
    </row>
    <row r="387" spans="2:6" x14ac:dyDescent="0.25">
      <c r="B387" s="345"/>
      <c r="C387" s="345"/>
      <c r="D387" s="345"/>
      <c r="E387" s="345"/>
      <c r="F387" s="345"/>
    </row>
    <row r="388" spans="2:6" x14ac:dyDescent="0.25">
      <c r="B388" s="345"/>
      <c r="C388" s="345"/>
      <c r="D388" s="345"/>
      <c r="E388" s="345"/>
      <c r="F388" s="345"/>
    </row>
    <row r="389" spans="2:6" x14ac:dyDescent="0.25">
      <c r="B389" s="345"/>
      <c r="C389" s="345"/>
      <c r="D389" s="345"/>
      <c r="E389" s="345"/>
      <c r="F389" s="345"/>
    </row>
    <row r="390" spans="2:6" x14ac:dyDescent="0.25">
      <c r="B390" s="345"/>
      <c r="C390" s="345"/>
      <c r="D390" s="345"/>
      <c r="E390" s="345"/>
      <c r="F390" s="345"/>
    </row>
    <row r="391" spans="2:6" x14ac:dyDescent="0.25">
      <c r="B391" s="345"/>
      <c r="C391" s="345"/>
      <c r="D391" s="345"/>
      <c r="E391" s="345"/>
      <c r="F391" s="345"/>
    </row>
    <row r="392" spans="2:6" x14ac:dyDescent="0.25">
      <c r="B392" s="345"/>
      <c r="C392" s="345"/>
      <c r="D392" s="345"/>
      <c r="E392" s="345"/>
      <c r="F392" s="345"/>
    </row>
    <row r="393" spans="2:6" x14ac:dyDescent="0.25">
      <c r="B393" s="345"/>
      <c r="C393" s="345"/>
      <c r="D393" s="345"/>
      <c r="E393" s="345"/>
      <c r="F393" s="345"/>
    </row>
    <row r="394" spans="2:6" x14ac:dyDescent="0.25">
      <c r="B394" s="345"/>
      <c r="C394" s="345"/>
      <c r="D394" s="345"/>
      <c r="E394" s="345"/>
      <c r="F394" s="345"/>
    </row>
    <row r="395" spans="2:6" x14ac:dyDescent="0.25">
      <c r="B395" s="345"/>
      <c r="C395" s="345"/>
      <c r="D395" s="345"/>
      <c r="E395" s="345"/>
      <c r="F395" s="345"/>
    </row>
    <row r="396" spans="2:6" x14ac:dyDescent="0.25">
      <c r="B396" s="345"/>
      <c r="C396" s="345"/>
      <c r="D396" s="345"/>
      <c r="E396" s="345"/>
      <c r="F396" s="345"/>
    </row>
    <row r="397" spans="2:6" x14ac:dyDescent="0.25">
      <c r="B397" s="345"/>
      <c r="C397" s="345"/>
      <c r="D397" s="345"/>
      <c r="E397" s="345"/>
      <c r="F397" s="345"/>
    </row>
    <row r="398" spans="2:6" x14ac:dyDescent="0.25">
      <c r="B398" s="345"/>
      <c r="C398" s="345"/>
      <c r="D398" s="345"/>
      <c r="E398" s="345"/>
      <c r="F398" s="345"/>
    </row>
    <row r="399" spans="2:6" x14ac:dyDescent="0.25">
      <c r="B399" s="345"/>
      <c r="C399" s="345"/>
      <c r="D399" s="345"/>
      <c r="E399" s="345"/>
      <c r="F399" s="345"/>
    </row>
    <row r="400" spans="2:6" x14ac:dyDescent="0.25">
      <c r="B400" s="345"/>
      <c r="C400" s="345"/>
      <c r="D400" s="345"/>
      <c r="E400" s="345"/>
      <c r="F400" s="345"/>
    </row>
    <row r="401" spans="2:6" x14ac:dyDescent="0.25">
      <c r="B401" s="345"/>
      <c r="C401" s="345"/>
      <c r="D401" s="345"/>
      <c r="E401" s="345"/>
      <c r="F401" s="345"/>
    </row>
    <row r="402" spans="2:6" x14ac:dyDescent="0.25">
      <c r="B402" s="345"/>
      <c r="C402" s="345"/>
      <c r="D402" s="345"/>
      <c r="E402" s="345"/>
      <c r="F402" s="345"/>
    </row>
    <row r="403" spans="2:6" x14ac:dyDescent="0.25">
      <c r="B403" s="345"/>
      <c r="C403" s="345"/>
      <c r="D403" s="345"/>
      <c r="E403" s="345"/>
      <c r="F403" s="345"/>
    </row>
    <row r="404" spans="2:6" x14ac:dyDescent="0.25">
      <c r="B404" s="345"/>
      <c r="C404" s="345"/>
      <c r="D404" s="345"/>
      <c r="E404" s="345"/>
      <c r="F404" s="345"/>
    </row>
    <row r="405" spans="2:6" x14ac:dyDescent="0.25">
      <c r="B405" s="345"/>
      <c r="C405" s="345"/>
      <c r="D405" s="345"/>
      <c r="E405" s="345"/>
      <c r="F405" s="345"/>
    </row>
    <row r="406" spans="2:6" x14ac:dyDescent="0.25">
      <c r="B406" s="345"/>
      <c r="C406" s="345"/>
      <c r="D406" s="345"/>
      <c r="E406" s="345"/>
      <c r="F406" s="345"/>
    </row>
    <row r="407" spans="2:6" x14ac:dyDescent="0.25">
      <c r="B407" s="345"/>
      <c r="C407" s="345"/>
      <c r="D407" s="345"/>
      <c r="E407" s="345"/>
      <c r="F407" s="345"/>
    </row>
    <row r="408" spans="2:6" x14ac:dyDescent="0.25">
      <c r="B408" s="345"/>
      <c r="C408" s="345"/>
      <c r="D408" s="345"/>
      <c r="E408" s="345"/>
      <c r="F408" s="345"/>
    </row>
    <row r="409" spans="2:6" x14ac:dyDescent="0.25">
      <c r="B409" s="345"/>
      <c r="C409" s="345"/>
      <c r="D409" s="345"/>
      <c r="E409" s="345"/>
      <c r="F409" s="345"/>
    </row>
    <row r="410" spans="2:6" x14ac:dyDescent="0.25">
      <c r="B410" s="345"/>
      <c r="C410" s="345"/>
      <c r="D410" s="345"/>
      <c r="E410" s="345"/>
      <c r="F410" s="345"/>
    </row>
    <row r="411" spans="2:6" x14ac:dyDescent="0.25">
      <c r="B411" s="345"/>
      <c r="C411" s="345"/>
      <c r="D411" s="345"/>
      <c r="E411" s="345"/>
      <c r="F411" s="345"/>
    </row>
    <row r="412" spans="2:6" x14ac:dyDescent="0.25">
      <c r="B412" s="345"/>
      <c r="C412" s="345"/>
      <c r="D412" s="345"/>
      <c r="E412" s="345"/>
      <c r="F412" s="345"/>
    </row>
    <row r="413" spans="2:6" x14ac:dyDescent="0.25">
      <c r="B413" s="345"/>
      <c r="C413" s="345"/>
      <c r="D413" s="345"/>
      <c r="E413" s="345"/>
      <c r="F413" s="345"/>
    </row>
    <row r="414" spans="2:6" x14ac:dyDescent="0.25">
      <c r="B414" s="345"/>
      <c r="C414" s="345"/>
      <c r="D414" s="345"/>
      <c r="E414" s="345"/>
      <c r="F414" s="345"/>
    </row>
    <row r="415" spans="2:6" x14ac:dyDescent="0.25">
      <c r="B415" s="345"/>
      <c r="C415" s="345"/>
      <c r="D415" s="345"/>
      <c r="E415" s="345"/>
      <c r="F415" s="345"/>
    </row>
    <row r="416" spans="2:6" x14ac:dyDescent="0.25">
      <c r="B416" s="345"/>
      <c r="C416" s="345"/>
      <c r="D416" s="345"/>
      <c r="E416" s="345"/>
      <c r="F416" s="345"/>
    </row>
    <row r="417" spans="2:6" x14ac:dyDescent="0.25">
      <c r="B417" s="345"/>
      <c r="C417" s="345"/>
      <c r="D417" s="345"/>
      <c r="E417" s="345"/>
      <c r="F417" s="345"/>
    </row>
    <row r="418" spans="2:6" x14ac:dyDescent="0.25">
      <c r="B418" s="345"/>
      <c r="C418" s="345"/>
      <c r="D418" s="345"/>
      <c r="E418" s="345"/>
      <c r="F418" s="345"/>
    </row>
    <row r="419" spans="2:6" x14ac:dyDescent="0.25">
      <c r="B419" s="345"/>
      <c r="C419" s="345"/>
      <c r="D419" s="345"/>
      <c r="E419" s="345"/>
      <c r="F419" s="345"/>
    </row>
    <row r="420" spans="2:6" x14ac:dyDescent="0.25">
      <c r="B420" s="345"/>
      <c r="C420" s="345"/>
      <c r="D420" s="345"/>
      <c r="E420" s="345"/>
      <c r="F420" s="345"/>
    </row>
    <row r="421" spans="2:6" x14ac:dyDescent="0.25">
      <c r="B421" s="345"/>
      <c r="C421" s="345"/>
      <c r="D421" s="345"/>
      <c r="E421" s="345"/>
      <c r="F421" s="345"/>
    </row>
    <row r="422" spans="2:6" x14ac:dyDescent="0.25">
      <c r="B422" s="345"/>
      <c r="C422" s="345"/>
      <c r="D422" s="345"/>
      <c r="E422" s="345"/>
      <c r="F422" s="345"/>
    </row>
    <row r="423" spans="2:6" x14ac:dyDescent="0.25">
      <c r="B423" s="345"/>
      <c r="C423" s="345"/>
      <c r="D423" s="345"/>
      <c r="E423" s="345"/>
      <c r="F423" s="345"/>
    </row>
    <row r="424" spans="2:6" x14ac:dyDescent="0.25">
      <c r="B424" s="345"/>
      <c r="C424" s="345"/>
      <c r="D424" s="345"/>
      <c r="E424" s="345"/>
      <c r="F424" s="345"/>
    </row>
    <row r="425" spans="2:6" x14ac:dyDescent="0.25">
      <c r="B425" s="345"/>
      <c r="C425" s="345"/>
      <c r="D425" s="345"/>
      <c r="E425" s="345"/>
      <c r="F425" s="345"/>
    </row>
    <row r="426" spans="2:6" x14ac:dyDescent="0.25">
      <c r="B426" s="345"/>
      <c r="C426" s="345"/>
      <c r="D426" s="345"/>
      <c r="E426" s="345"/>
      <c r="F426" s="345"/>
    </row>
    <row r="427" spans="2:6" x14ac:dyDescent="0.25">
      <c r="B427" s="345"/>
      <c r="C427" s="345"/>
      <c r="D427" s="345"/>
      <c r="E427" s="345"/>
      <c r="F427" s="345"/>
    </row>
    <row r="428" spans="2:6" x14ac:dyDescent="0.25">
      <c r="B428" s="345"/>
      <c r="C428" s="345"/>
      <c r="D428" s="345"/>
      <c r="E428" s="345"/>
      <c r="F428" s="345"/>
    </row>
    <row r="429" spans="2:6" x14ac:dyDescent="0.25">
      <c r="B429" s="345"/>
      <c r="C429" s="345"/>
      <c r="D429" s="345"/>
      <c r="E429" s="345"/>
      <c r="F429" s="345"/>
    </row>
    <row r="430" spans="2:6" x14ac:dyDescent="0.25">
      <c r="B430" s="345"/>
      <c r="C430" s="345"/>
      <c r="D430" s="345"/>
      <c r="E430" s="345"/>
      <c r="F430" s="345"/>
    </row>
    <row r="431" spans="2:6" x14ac:dyDescent="0.25">
      <c r="B431" s="345"/>
      <c r="C431" s="345"/>
      <c r="D431" s="345"/>
      <c r="E431" s="345"/>
      <c r="F431" s="345"/>
    </row>
    <row r="432" spans="2:6" x14ac:dyDescent="0.25">
      <c r="B432" s="345"/>
      <c r="C432" s="345"/>
      <c r="D432" s="345"/>
      <c r="E432" s="345"/>
      <c r="F432" s="345"/>
    </row>
    <row r="433" spans="2:6" x14ac:dyDescent="0.25">
      <c r="B433" s="345"/>
      <c r="C433" s="345"/>
      <c r="D433" s="345"/>
      <c r="E433" s="345"/>
      <c r="F433" s="345"/>
    </row>
    <row r="434" spans="2:6" x14ac:dyDescent="0.25">
      <c r="B434" s="345"/>
      <c r="C434" s="345"/>
      <c r="D434" s="345"/>
      <c r="E434" s="345"/>
      <c r="F434" s="345"/>
    </row>
    <row r="435" spans="2:6" x14ac:dyDescent="0.25">
      <c r="B435" s="345"/>
      <c r="C435" s="345"/>
      <c r="D435" s="345"/>
      <c r="E435" s="345"/>
      <c r="F435" s="345"/>
    </row>
    <row r="436" spans="2:6" x14ac:dyDescent="0.25">
      <c r="B436" s="345"/>
      <c r="C436" s="345"/>
      <c r="D436" s="345"/>
      <c r="E436" s="345"/>
      <c r="F436" s="345"/>
    </row>
    <row r="437" spans="2:6" x14ac:dyDescent="0.25">
      <c r="B437" s="345"/>
      <c r="C437" s="345"/>
      <c r="D437" s="345"/>
      <c r="E437" s="345"/>
      <c r="F437" s="345"/>
    </row>
    <row r="438" spans="2:6" x14ac:dyDescent="0.25">
      <c r="B438" s="345"/>
      <c r="C438" s="345"/>
      <c r="D438" s="345"/>
      <c r="E438" s="345"/>
      <c r="F438" s="345"/>
    </row>
    <row r="439" spans="2:6" x14ac:dyDescent="0.25">
      <c r="B439" s="345"/>
      <c r="C439" s="345"/>
      <c r="D439" s="345"/>
      <c r="E439" s="345"/>
      <c r="F439" s="345"/>
    </row>
    <row r="440" spans="2:6" x14ac:dyDescent="0.25">
      <c r="B440" s="345"/>
      <c r="C440" s="345"/>
      <c r="D440" s="345"/>
      <c r="E440" s="345"/>
      <c r="F440" s="345"/>
    </row>
    <row r="441" spans="2:6" x14ac:dyDescent="0.25">
      <c r="B441" s="345"/>
      <c r="C441" s="345"/>
      <c r="D441" s="345"/>
      <c r="E441" s="345"/>
      <c r="F441" s="345"/>
    </row>
    <row r="442" spans="2:6" x14ac:dyDescent="0.25">
      <c r="B442" s="345"/>
      <c r="C442" s="345"/>
      <c r="D442" s="345"/>
      <c r="E442" s="345"/>
      <c r="F442" s="345"/>
    </row>
    <row r="443" spans="2:6" x14ac:dyDescent="0.25">
      <c r="B443" s="345"/>
      <c r="C443" s="345"/>
      <c r="D443" s="345"/>
      <c r="E443" s="345"/>
      <c r="F443" s="345"/>
    </row>
    <row r="444" spans="2:6" x14ac:dyDescent="0.25">
      <c r="B444" s="345"/>
      <c r="C444" s="345"/>
      <c r="D444" s="345"/>
      <c r="E444" s="345"/>
      <c r="F444" s="345"/>
    </row>
    <row r="445" spans="2:6" x14ac:dyDescent="0.25">
      <c r="B445" s="345"/>
      <c r="C445" s="345"/>
      <c r="D445" s="345"/>
      <c r="E445" s="345"/>
      <c r="F445" s="345"/>
    </row>
    <row r="446" spans="2:6" x14ac:dyDescent="0.25">
      <c r="B446" s="345"/>
      <c r="C446" s="345"/>
      <c r="D446" s="345"/>
      <c r="E446" s="345"/>
      <c r="F446" s="345"/>
    </row>
    <row r="447" spans="2:6" x14ac:dyDescent="0.25">
      <c r="B447" s="345"/>
      <c r="C447" s="345"/>
      <c r="D447" s="345"/>
      <c r="E447" s="345"/>
      <c r="F447" s="345"/>
    </row>
    <row r="448" spans="2:6" x14ac:dyDescent="0.25">
      <c r="B448" s="345"/>
      <c r="C448" s="345"/>
      <c r="D448" s="345"/>
      <c r="E448" s="345"/>
      <c r="F448" s="345"/>
    </row>
    <row r="449" spans="2:6" x14ac:dyDescent="0.25">
      <c r="B449" s="345"/>
      <c r="C449" s="345"/>
      <c r="D449" s="345"/>
      <c r="E449" s="345"/>
      <c r="F449" s="345"/>
    </row>
    <row r="450" spans="2:6" x14ac:dyDescent="0.25">
      <c r="B450" s="345"/>
      <c r="C450" s="345"/>
      <c r="D450" s="345"/>
      <c r="E450" s="345"/>
      <c r="F450" s="345"/>
    </row>
    <row r="451" spans="2:6" x14ac:dyDescent="0.25">
      <c r="B451" s="345"/>
      <c r="C451" s="345"/>
      <c r="D451" s="345"/>
      <c r="E451" s="345"/>
      <c r="F451" s="345"/>
    </row>
    <row r="452" spans="2:6" x14ac:dyDescent="0.25">
      <c r="B452" s="345"/>
      <c r="C452" s="345"/>
      <c r="D452" s="345"/>
      <c r="E452" s="345"/>
      <c r="F452" s="345"/>
    </row>
    <row r="453" spans="2:6" x14ac:dyDescent="0.25">
      <c r="B453" s="345"/>
      <c r="C453" s="345"/>
      <c r="D453" s="345"/>
      <c r="E453" s="345"/>
      <c r="F453" s="345"/>
    </row>
    <row r="454" spans="2:6" x14ac:dyDescent="0.25">
      <c r="B454" s="345"/>
      <c r="C454" s="345"/>
      <c r="D454" s="345"/>
      <c r="E454" s="345"/>
      <c r="F454" s="345"/>
    </row>
    <row r="455" spans="2:6" x14ac:dyDescent="0.25">
      <c r="B455" s="345"/>
      <c r="C455" s="345"/>
      <c r="D455" s="345"/>
      <c r="E455" s="345"/>
      <c r="F455" s="345"/>
    </row>
    <row r="456" spans="2:6" x14ac:dyDescent="0.25">
      <c r="B456" s="345"/>
      <c r="C456" s="345"/>
      <c r="D456" s="345"/>
      <c r="E456" s="345"/>
      <c r="F456" s="345"/>
    </row>
    <row r="457" spans="2:6" x14ac:dyDescent="0.25">
      <c r="B457" s="345"/>
      <c r="C457" s="345"/>
      <c r="D457" s="345"/>
      <c r="E457" s="345"/>
      <c r="F457" s="345"/>
    </row>
    <row r="458" spans="2:6" x14ac:dyDescent="0.25">
      <c r="B458" s="345"/>
      <c r="C458" s="345"/>
      <c r="D458" s="345"/>
      <c r="E458" s="345"/>
      <c r="F458" s="345"/>
    </row>
    <row r="459" spans="2:6" x14ac:dyDescent="0.25">
      <c r="B459" s="345"/>
      <c r="C459" s="345"/>
      <c r="D459" s="345"/>
      <c r="E459" s="345"/>
      <c r="F459" s="345"/>
    </row>
    <row r="460" spans="2:6" x14ac:dyDescent="0.25">
      <c r="B460" s="345"/>
      <c r="C460" s="345"/>
      <c r="D460" s="345"/>
      <c r="E460" s="345"/>
      <c r="F460" s="345"/>
    </row>
    <row r="461" spans="2:6" x14ac:dyDescent="0.25">
      <c r="B461" s="345"/>
      <c r="C461" s="345"/>
      <c r="D461" s="345"/>
      <c r="E461" s="345"/>
      <c r="F461" s="345"/>
    </row>
    <row r="462" spans="2:6" x14ac:dyDescent="0.25">
      <c r="B462" s="345"/>
      <c r="C462" s="345"/>
      <c r="D462" s="345"/>
      <c r="E462" s="345"/>
      <c r="F462" s="345"/>
    </row>
    <row r="463" spans="2:6" x14ac:dyDescent="0.25">
      <c r="B463" s="345"/>
      <c r="C463" s="345"/>
      <c r="D463" s="345"/>
      <c r="E463" s="345"/>
      <c r="F463" s="345"/>
    </row>
    <row r="464" spans="2:6" x14ac:dyDescent="0.25">
      <c r="B464" s="345"/>
      <c r="C464" s="345"/>
      <c r="D464" s="345"/>
      <c r="E464" s="345"/>
      <c r="F464" s="345"/>
    </row>
    <row r="465" spans="2:6" x14ac:dyDescent="0.25">
      <c r="B465" s="345"/>
      <c r="C465" s="345"/>
      <c r="D465" s="345"/>
      <c r="E465" s="345"/>
      <c r="F465" s="345"/>
    </row>
    <row r="466" spans="2:6" x14ac:dyDescent="0.25">
      <c r="B466" s="345"/>
      <c r="C466" s="345"/>
      <c r="D466" s="345"/>
      <c r="E466" s="345"/>
      <c r="F466" s="345"/>
    </row>
    <row r="467" spans="2:6" x14ac:dyDescent="0.25">
      <c r="B467" s="345"/>
      <c r="C467" s="345"/>
      <c r="D467" s="345"/>
      <c r="E467" s="345"/>
      <c r="F467" s="345"/>
    </row>
    <row r="468" spans="2:6" x14ac:dyDescent="0.25">
      <c r="B468" s="345"/>
      <c r="C468" s="345"/>
      <c r="D468" s="345"/>
      <c r="E468" s="345"/>
      <c r="F468" s="345"/>
    </row>
    <row r="469" spans="2:6" x14ac:dyDescent="0.25">
      <c r="B469" s="345"/>
      <c r="C469" s="345"/>
      <c r="D469" s="345"/>
      <c r="E469" s="345"/>
      <c r="F469" s="345"/>
    </row>
    <row r="470" spans="2:6" x14ac:dyDescent="0.25">
      <c r="B470" s="345"/>
      <c r="C470" s="345"/>
      <c r="D470" s="345"/>
      <c r="E470" s="345"/>
      <c r="F470" s="345"/>
    </row>
    <row r="471" spans="2:6" x14ac:dyDescent="0.25">
      <c r="B471" s="345"/>
      <c r="C471" s="345"/>
      <c r="D471" s="345"/>
      <c r="E471" s="345"/>
      <c r="F471" s="345"/>
    </row>
    <row r="472" spans="2:6" x14ac:dyDescent="0.25">
      <c r="B472" s="345"/>
      <c r="C472" s="345"/>
      <c r="D472" s="345"/>
      <c r="E472" s="345"/>
      <c r="F472" s="345"/>
    </row>
    <row r="473" spans="2:6" x14ac:dyDescent="0.25">
      <c r="B473" s="345"/>
      <c r="C473" s="345"/>
      <c r="D473" s="345"/>
      <c r="E473" s="345"/>
      <c r="F473" s="345"/>
    </row>
    <row r="474" spans="2:6" x14ac:dyDescent="0.25">
      <c r="B474" s="345"/>
      <c r="C474" s="345"/>
      <c r="D474" s="345"/>
      <c r="E474" s="345"/>
      <c r="F474" s="345"/>
    </row>
    <row r="475" spans="2:6" x14ac:dyDescent="0.25">
      <c r="B475" s="345"/>
      <c r="C475" s="345"/>
      <c r="D475" s="345"/>
      <c r="E475" s="345"/>
      <c r="F475" s="345"/>
    </row>
    <row r="476" spans="2:6" x14ac:dyDescent="0.25">
      <c r="B476" s="345"/>
      <c r="C476" s="345"/>
      <c r="D476" s="345"/>
      <c r="E476" s="345"/>
      <c r="F476" s="345"/>
    </row>
    <row r="477" spans="2:6" x14ac:dyDescent="0.25">
      <c r="B477" s="345"/>
      <c r="C477" s="345"/>
      <c r="D477" s="345"/>
      <c r="E477" s="345"/>
      <c r="F477" s="345"/>
    </row>
    <row r="478" spans="2:6" x14ac:dyDescent="0.25">
      <c r="B478" s="345"/>
      <c r="C478" s="345"/>
      <c r="D478" s="345"/>
      <c r="E478" s="345"/>
      <c r="F478" s="345"/>
    </row>
    <row r="479" spans="2:6" x14ac:dyDescent="0.25">
      <c r="B479" s="345"/>
      <c r="C479" s="345"/>
      <c r="D479" s="345"/>
      <c r="E479" s="345"/>
      <c r="F479" s="345"/>
    </row>
    <row r="480" spans="2:6" x14ac:dyDescent="0.25">
      <c r="B480" s="345"/>
      <c r="C480" s="345"/>
      <c r="D480" s="345"/>
      <c r="E480" s="345"/>
      <c r="F480" s="345"/>
    </row>
    <row r="481" spans="2:6" x14ac:dyDescent="0.25">
      <c r="B481" s="345"/>
      <c r="C481" s="345"/>
      <c r="D481" s="345"/>
      <c r="E481" s="345"/>
      <c r="F481" s="345"/>
    </row>
    <row r="482" spans="2:6" x14ac:dyDescent="0.25">
      <c r="B482" s="345"/>
      <c r="C482" s="345"/>
      <c r="D482" s="345"/>
      <c r="E482" s="345"/>
      <c r="F482" s="345"/>
    </row>
    <row r="483" spans="2:6" x14ac:dyDescent="0.25">
      <c r="B483" s="345"/>
      <c r="C483" s="345"/>
      <c r="D483" s="345"/>
      <c r="E483" s="345"/>
      <c r="F483" s="345"/>
    </row>
    <row r="484" spans="2:6" x14ac:dyDescent="0.25">
      <c r="B484" s="345"/>
      <c r="C484" s="345"/>
      <c r="D484" s="345"/>
      <c r="E484" s="345"/>
      <c r="F484" s="345"/>
    </row>
    <row r="485" spans="2:6" x14ac:dyDescent="0.25">
      <c r="B485" s="345"/>
      <c r="C485" s="345"/>
      <c r="D485" s="345"/>
      <c r="E485" s="345"/>
      <c r="F485" s="345"/>
    </row>
    <row r="486" spans="2:6" x14ac:dyDescent="0.25">
      <c r="B486" s="345"/>
      <c r="C486" s="345"/>
      <c r="D486" s="345"/>
      <c r="E486" s="345"/>
      <c r="F486" s="345"/>
    </row>
    <row r="487" spans="2:6" x14ac:dyDescent="0.25">
      <c r="B487" s="345"/>
      <c r="C487" s="345"/>
      <c r="D487" s="345"/>
      <c r="E487" s="345"/>
      <c r="F487" s="345"/>
    </row>
    <row r="488" spans="2:6" x14ac:dyDescent="0.25">
      <c r="B488" s="345"/>
      <c r="C488" s="345"/>
      <c r="D488" s="345"/>
      <c r="E488" s="345"/>
      <c r="F488" s="345"/>
    </row>
    <row r="489" spans="2:6" x14ac:dyDescent="0.25">
      <c r="B489" s="345"/>
      <c r="C489" s="345"/>
      <c r="D489" s="345"/>
      <c r="E489" s="345"/>
      <c r="F489" s="345"/>
    </row>
    <row r="490" spans="2:6" x14ac:dyDescent="0.25">
      <c r="B490" s="345"/>
      <c r="C490" s="345"/>
      <c r="D490" s="345"/>
      <c r="E490" s="345"/>
      <c r="F490" s="345"/>
    </row>
    <row r="491" spans="2:6" x14ac:dyDescent="0.25">
      <c r="B491" s="345"/>
      <c r="C491" s="345"/>
      <c r="D491" s="345"/>
      <c r="E491" s="345"/>
      <c r="F491" s="345"/>
    </row>
    <row r="492" spans="2:6" x14ac:dyDescent="0.25">
      <c r="B492" s="345"/>
      <c r="C492" s="345"/>
      <c r="D492" s="345"/>
      <c r="E492" s="345"/>
      <c r="F492" s="345"/>
    </row>
    <row r="493" spans="2:6" x14ac:dyDescent="0.25">
      <c r="B493" s="345"/>
      <c r="C493" s="345"/>
      <c r="D493" s="345"/>
      <c r="E493" s="345"/>
      <c r="F493" s="345"/>
    </row>
    <row r="494" spans="2:6" x14ac:dyDescent="0.25">
      <c r="B494" s="345"/>
      <c r="C494" s="345"/>
      <c r="D494" s="345"/>
      <c r="E494" s="345"/>
      <c r="F494" s="345"/>
    </row>
    <row r="495" spans="2:6" x14ac:dyDescent="0.25">
      <c r="B495" s="345"/>
      <c r="C495" s="345"/>
      <c r="D495" s="345"/>
      <c r="E495" s="345"/>
      <c r="F495" s="345"/>
    </row>
    <row r="496" spans="2:6" x14ac:dyDescent="0.25">
      <c r="B496" s="345"/>
      <c r="C496" s="345"/>
      <c r="D496" s="345"/>
      <c r="E496" s="345"/>
      <c r="F496" s="345"/>
    </row>
    <row r="497" spans="2:6" x14ac:dyDescent="0.25">
      <c r="B497" s="345"/>
      <c r="C497" s="345"/>
      <c r="D497" s="345"/>
      <c r="E497" s="345"/>
      <c r="F497" s="345"/>
    </row>
    <row r="498" spans="2:6" x14ac:dyDescent="0.25">
      <c r="B498" s="345"/>
      <c r="C498" s="345"/>
      <c r="D498" s="345"/>
      <c r="E498" s="345"/>
      <c r="F498" s="345"/>
    </row>
    <row r="499" spans="2:6" x14ac:dyDescent="0.25">
      <c r="B499" s="345"/>
      <c r="C499" s="345"/>
      <c r="D499" s="345"/>
      <c r="E499" s="345"/>
      <c r="F499" s="345"/>
    </row>
    <row r="500" spans="2:6" x14ac:dyDescent="0.25">
      <c r="B500" s="345"/>
      <c r="C500" s="345"/>
      <c r="D500" s="345"/>
      <c r="E500" s="345"/>
      <c r="F500" s="345"/>
    </row>
    <row r="501" spans="2:6" x14ac:dyDescent="0.25">
      <c r="B501" s="345"/>
      <c r="C501" s="345"/>
      <c r="D501" s="345"/>
      <c r="E501" s="345"/>
      <c r="F501" s="345"/>
    </row>
    <row r="502" spans="2:6" x14ac:dyDescent="0.25">
      <c r="B502" s="345"/>
      <c r="C502" s="345"/>
      <c r="D502" s="345"/>
      <c r="E502" s="345"/>
      <c r="F502" s="345"/>
    </row>
    <row r="503" spans="2:6" x14ac:dyDescent="0.25">
      <c r="B503" s="345"/>
      <c r="C503" s="345"/>
      <c r="D503" s="345"/>
      <c r="E503" s="345"/>
      <c r="F503" s="345"/>
    </row>
    <row r="504" spans="2:6" x14ac:dyDescent="0.25">
      <c r="B504" s="345"/>
      <c r="C504" s="345"/>
      <c r="D504" s="345"/>
      <c r="E504" s="345"/>
      <c r="F504" s="345"/>
    </row>
    <row r="505" spans="2:6" x14ac:dyDescent="0.25">
      <c r="B505" s="345"/>
      <c r="C505" s="345"/>
      <c r="D505" s="345"/>
      <c r="E505" s="345"/>
      <c r="F505" s="345"/>
    </row>
    <row r="506" spans="2:6" x14ac:dyDescent="0.25">
      <c r="B506" s="345"/>
      <c r="C506" s="345"/>
      <c r="D506" s="345"/>
      <c r="E506" s="345"/>
      <c r="F506" s="345"/>
    </row>
    <row r="507" spans="2:6" x14ac:dyDescent="0.25">
      <c r="B507" s="345"/>
      <c r="C507" s="345"/>
      <c r="D507" s="345"/>
      <c r="E507" s="345"/>
      <c r="F507" s="345"/>
    </row>
    <row r="508" spans="2:6" x14ac:dyDescent="0.25">
      <c r="B508" s="345"/>
      <c r="C508" s="345"/>
      <c r="D508" s="345"/>
      <c r="E508" s="345"/>
      <c r="F508" s="345"/>
    </row>
    <row r="509" spans="2:6" x14ac:dyDescent="0.25">
      <c r="B509" s="345"/>
      <c r="C509" s="345"/>
      <c r="D509" s="345"/>
      <c r="E509" s="345"/>
      <c r="F509" s="345"/>
    </row>
    <row r="510" spans="2:6" x14ac:dyDescent="0.25">
      <c r="B510" s="345"/>
      <c r="C510" s="345"/>
      <c r="D510" s="345"/>
      <c r="E510" s="345"/>
      <c r="F510" s="345"/>
    </row>
    <row r="511" spans="2:6" x14ac:dyDescent="0.25">
      <c r="B511" s="345"/>
      <c r="C511" s="345"/>
      <c r="D511" s="345"/>
      <c r="E511" s="345"/>
      <c r="F511" s="345"/>
    </row>
    <row r="512" spans="2:6" x14ac:dyDescent="0.25">
      <c r="B512" s="345"/>
      <c r="C512" s="345"/>
      <c r="D512" s="345"/>
      <c r="E512" s="345"/>
      <c r="F512" s="345"/>
    </row>
    <row r="513" spans="2:6" x14ac:dyDescent="0.25">
      <c r="B513" s="345"/>
      <c r="C513" s="345"/>
      <c r="D513" s="345"/>
      <c r="E513" s="345"/>
      <c r="F513" s="345"/>
    </row>
    <row r="514" spans="2:6" x14ac:dyDescent="0.25">
      <c r="B514" s="345"/>
      <c r="C514" s="345"/>
      <c r="D514" s="345"/>
      <c r="E514" s="345"/>
      <c r="F514" s="345"/>
    </row>
    <row r="515" spans="2:6" x14ac:dyDescent="0.25">
      <c r="B515" s="345"/>
      <c r="C515" s="345"/>
      <c r="D515" s="345"/>
      <c r="E515" s="345"/>
      <c r="F515" s="345"/>
    </row>
    <row r="516" spans="2:6" x14ac:dyDescent="0.25">
      <c r="B516" s="345"/>
      <c r="C516" s="345"/>
      <c r="D516" s="345"/>
      <c r="E516" s="345"/>
      <c r="F516" s="345"/>
    </row>
    <row r="517" spans="2:6" x14ac:dyDescent="0.25">
      <c r="B517" s="345"/>
      <c r="C517" s="345"/>
      <c r="D517" s="345"/>
      <c r="E517" s="345"/>
      <c r="F517" s="345"/>
    </row>
    <row r="518" spans="2:6" x14ac:dyDescent="0.25">
      <c r="B518" s="345"/>
      <c r="C518" s="345"/>
      <c r="D518" s="345"/>
      <c r="E518" s="345"/>
      <c r="F518" s="345"/>
    </row>
    <row r="519" spans="2:6" x14ac:dyDescent="0.25">
      <c r="B519" s="345"/>
      <c r="C519" s="345"/>
      <c r="D519" s="345"/>
      <c r="E519" s="345"/>
      <c r="F519" s="345"/>
    </row>
    <row r="520" spans="2:6" x14ac:dyDescent="0.25">
      <c r="B520" s="345"/>
      <c r="C520" s="345"/>
      <c r="D520" s="345"/>
      <c r="E520" s="345"/>
      <c r="F520" s="345"/>
    </row>
    <row r="521" spans="2:6" x14ac:dyDescent="0.25">
      <c r="B521" s="345"/>
      <c r="C521" s="345"/>
      <c r="D521" s="345"/>
      <c r="E521" s="345"/>
      <c r="F521" s="345"/>
    </row>
    <row r="522" spans="2:6" x14ac:dyDescent="0.25">
      <c r="B522" s="345"/>
      <c r="C522" s="345"/>
      <c r="D522" s="345"/>
      <c r="E522" s="345"/>
      <c r="F522" s="345"/>
    </row>
    <row r="523" spans="2:6" x14ac:dyDescent="0.25">
      <c r="B523" s="345"/>
      <c r="C523" s="345"/>
      <c r="D523" s="345"/>
      <c r="E523" s="345"/>
      <c r="F523" s="345"/>
    </row>
    <row r="524" spans="2:6" x14ac:dyDescent="0.25">
      <c r="B524" s="345"/>
      <c r="C524" s="345"/>
      <c r="D524" s="345"/>
      <c r="E524" s="345"/>
      <c r="F524" s="345"/>
    </row>
    <row r="525" spans="2:6" x14ac:dyDescent="0.25">
      <c r="B525" s="345"/>
      <c r="C525" s="345"/>
      <c r="D525" s="345"/>
      <c r="E525" s="345"/>
      <c r="F525" s="345"/>
    </row>
    <row r="526" spans="2:6" x14ac:dyDescent="0.25">
      <c r="B526" s="345"/>
      <c r="C526" s="345"/>
      <c r="D526" s="345"/>
      <c r="E526" s="345"/>
      <c r="F526" s="345"/>
    </row>
    <row r="527" spans="2:6" x14ac:dyDescent="0.25">
      <c r="B527" s="345"/>
      <c r="C527" s="345"/>
      <c r="D527" s="345"/>
      <c r="E527" s="345"/>
      <c r="F527" s="345"/>
    </row>
    <row r="528" spans="2:6" x14ac:dyDescent="0.25">
      <c r="B528" s="345"/>
      <c r="C528" s="345"/>
      <c r="D528" s="345"/>
      <c r="E528" s="345"/>
      <c r="F528" s="345"/>
    </row>
    <row r="529" spans="2:6" x14ac:dyDescent="0.25">
      <c r="B529" s="345"/>
      <c r="C529" s="345"/>
      <c r="D529" s="345"/>
      <c r="E529" s="345"/>
      <c r="F529" s="345"/>
    </row>
    <row r="530" spans="2:6" x14ac:dyDescent="0.25">
      <c r="B530" s="345"/>
      <c r="C530" s="345"/>
      <c r="D530" s="345"/>
      <c r="E530" s="345"/>
      <c r="F530" s="345"/>
    </row>
    <row r="531" spans="2:6" x14ac:dyDescent="0.25">
      <c r="B531" s="345"/>
      <c r="C531" s="345"/>
      <c r="D531" s="345"/>
      <c r="E531" s="345"/>
      <c r="F531" s="345"/>
    </row>
    <row r="532" spans="2:6" x14ac:dyDescent="0.25">
      <c r="B532" s="345"/>
      <c r="C532" s="345"/>
      <c r="D532" s="345"/>
      <c r="E532" s="345"/>
      <c r="F532" s="345"/>
    </row>
    <row r="533" spans="2:6" x14ac:dyDescent="0.25">
      <c r="B533" s="345"/>
      <c r="C533" s="345"/>
      <c r="D533" s="345"/>
      <c r="E533" s="345"/>
      <c r="F533" s="345"/>
    </row>
    <row r="534" spans="2:6" x14ac:dyDescent="0.25">
      <c r="B534" s="345"/>
      <c r="C534" s="345"/>
      <c r="D534" s="345"/>
      <c r="E534" s="345"/>
      <c r="F534" s="345"/>
    </row>
    <row r="535" spans="2:6" x14ac:dyDescent="0.25">
      <c r="B535" s="345"/>
      <c r="C535" s="345"/>
      <c r="D535" s="345"/>
      <c r="E535" s="345"/>
      <c r="F535" s="345"/>
    </row>
    <row r="536" spans="2:6" x14ac:dyDescent="0.25">
      <c r="B536" s="345"/>
      <c r="C536" s="345"/>
      <c r="D536" s="345"/>
      <c r="E536" s="345"/>
      <c r="F536" s="345"/>
    </row>
    <row r="537" spans="2:6" x14ac:dyDescent="0.25">
      <c r="B537" s="345"/>
      <c r="C537" s="345"/>
      <c r="D537" s="345"/>
      <c r="E537" s="345"/>
      <c r="F537" s="345"/>
    </row>
    <row r="538" spans="2:6" x14ac:dyDescent="0.25">
      <c r="B538" s="345"/>
      <c r="C538" s="345"/>
      <c r="D538" s="345"/>
      <c r="E538" s="345"/>
      <c r="F538" s="345"/>
    </row>
    <row r="539" spans="2:6" x14ac:dyDescent="0.25">
      <c r="B539" s="345"/>
      <c r="C539" s="345"/>
      <c r="D539" s="345"/>
      <c r="E539" s="345"/>
      <c r="F539" s="345"/>
    </row>
    <row r="540" spans="2:6" x14ac:dyDescent="0.25">
      <c r="B540" s="345"/>
      <c r="C540" s="345"/>
      <c r="D540" s="345"/>
      <c r="E540" s="345"/>
      <c r="F540" s="345"/>
    </row>
    <row r="541" spans="2:6" x14ac:dyDescent="0.25">
      <c r="B541" s="345"/>
      <c r="C541" s="345"/>
      <c r="D541" s="345"/>
      <c r="E541" s="345"/>
      <c r="F541" s="345"/>
    </row>
    <row r="542" spans="2:6" x14ac:dyDescent="0.25">
      <c r="B542" s="345"/>
      <c r="C542" s="345"/>
      <c r="D542" s="345"/>
      <c r="E542" s="345"/>
      <c r="F542" s="345"/>
    </row>
    <row r="543" spans="2:6" x14ac:dyDescent="0.25">
      <c r="B543" s="345"/>
      <c r="C543" s="345"/>
      <c r="D543" s="345"/>
      <c r="E543" s="345"/>
      <c r="F543" s="345"/>
    </row>
    <row r="544" spans="2:6" x14ac:dyDescent="0.25">
      <c r="B544" s="345"/>
      <c r="C544" s="345"/>
      <c r="D544" s="345"/>
      <c r="E544" s="345"/>
      <c r="F544" s="345"/>
    </row>
    <row r="545" spans="2:6" x14ac:dyDescent="0.25">
      <c r="B545" s="345"/>
      <c r="C545" s="345"/>
      <c r="D545" s="345"/>
      <c r="E545" s="345"/>
      <c r="F545" s="345"/>
    </row>
    <row r="546" spans="2:6" x14ac:dyDescent="0.25">
      <c r="B546" s="345"/>
      <c r="C546" s="345"/>
      <c r="D546" s="345"/>
      <c r="E546" s="345"/>
      <c r="F546" s="345"/>
    </row>
    <row r="547" spans="2:6" x14ac:dyDescent="0.25">
      <c r="B547" s="345"/>
      <c r="C547" s="345"/>
      <c r="D547" s="345"/>
      <c r="E547" s="345"/>
      <c r="F547" s="345"/>
    </row>
    <row r="548" spans="2:6" x14ac:dyDescent="0.25">
      <c r="B548" s="345"/>
      <c r="C548" s="345"/>
      <c r="D548" s="345"/>
      <c r="E548" s="345"/>
      <c r="F548" s="345"/>
    </row>
    <row r="549" spans="2:6" x14ac:dyDescent="0.25">
      <c r="B549" s="345"/>
      <c r="C549" s="345"/>
      <c r="D549" s="345"/>
      <c r="E549" s="345"/>
      <c r="F549" s="345"/>
    </row>
    <row r="550" spans="2:6" x14ac:dyDescent="0.25">
      <c r="B550" s="345"/>
      <c r="C550" s="345"/>
      <c r="D550" s="345"/>
      <c r="E550" s="345"/>
      <c r="F550" s="345"/>
    </row>
    <row r="551" spans="2:6" x14ac:dyDescent="0.25">
      <c r="B551" s="345"/>
      <c r="C551" s="345"/>
      <c r="D551" s="345"/>
      <c r="E551" s="345"/>
      <c r="F551" s="345"/>
    </row>
    <row r="552" spans="2:6" x14ac:dyDescent="0.25">
      <c r="B552" s="345"/>
      <c r="C552" s="345"/>
      <c r="D552" s="345"/>
      <c r="E552" s="345"/>
      <c r="F552" s="345"/>
    </row>
    <row r="553" spans="2:6" x14ac:dyDescent="0.25">
      <c r="B553" s="345"/>
      <c r="C553" s="345"/>
      <c r="D553" s="345"/>
      <c r="E553" s="345"/>
      <c r="F553" s="345"/>
    </row>
    <row r="554" spans="2:6" x14ac:dyDescent="0.25">
      <c r="B554" s="345"/>
      <c r="C554" s="345"/>
      <c r="D554" s="345"/>
      <c r="E554" s="345"/>
      <c r="F554" s="345"/>
    </row>
    <row r="555" spans="2:6" x14ac:dyDescent="0.25">
      <c r="B555" s="345"/>
      <c r="C555" s="345"/>
      <c r="D555" s="345"/>
      <c r="E555" s="345"/>
      <c r="F555" s="345"/>
    </row>
    <row r="556" spans="2:6" x14ac:dyDescent="0.25">
      <c r="B556" s="345"/>
      <c r="C556" s="345"/>
      <c r="D556" s="345"/>
      <c r="E556" s="345"/>
      <c r="F556" s="345"/>
    </row>
    <row r="557" spans="2:6" x14ac:dyDescent="0.25">
      <c r="B557" s="345"/>
      <c r="C557" s="345"/>
      <c r="D557" s="345"/>
      <c r="E557" s="345"/>
      <c r="F557" s="345"/>
    </row>
    <row r="558" spans="2:6" x14ac:dyDescent="0.25">
      <c r="B558" s="345"/>
      <c r="C558" s="345"/>
      <c r="D558" s="345"/>
      <c r="E558" s="345"/>
      <c r="F558" s="345"/>
    </row>
    <row r="559" spans="2:6" x14ac:dyDescent="0.25">
      <c r="B559" s="345"/>
      <c r="C559" s="345"/>
      <c r="D559" s="345"/>
      <c r="E559" s="345"/>
      <c r="F559" s="345"/>
    </row>
    <row r="560" spans="2:6" x14ac:dyDescent="0.25">
      <c r="B560" s="345"/>
      <c r="C560" s="345"/>
      <c r="D560" s="345"/>
      <c r="E560" s="345"/>
      <c r="F560" s="345"/>
    </row>
    <row r="561" spans="2:6" x14ac:dyDescent="0.25">
      <c r="B561" s="345"/>
      <c r="C561" s="345"/>
      <c r="D561" s="345"/>
      <c r="E561" s="345"/>
      <c r="F561" s="345"/>
    </row>
    <row r="562" spans="2:6" x14ac:dyDescent="0.25">
      <c r="B562" s="345"/>
      <c r="C562" s="345"/>
      <c r="D562" s="345"/>
      <c r="E562" s="345"/>
      <c r="F562" s="345"/>
    </row>
    <row r="563" spans="2:6" x14ac:dyDescent="0.25">
      <c r="B563" s="345"/>
      <c r="C563" s="345"/>
      <c r="D563" s="345"/>
      <c r="E563" s="345"/>
      <c r="F563" s="345"/>
    </row>
    <row r="564" spans="2:6" x14ac:dyDescent="0.25">
      <c r="B564" s="345"/>
      <c r="C564" s="345"/>
      <c r="D564" s="345"/>
      <c r="E564" s="345"/>
      <c r="F564" s="345"/>
    </row>
    <row r="565" spans="2:6" x14ac:dyDescent="0.25">
      <c r="B565" s="345"/>
      <c r="C565" s="345"/>
      <c r="D565" s="345"/>
      <c r="E565" s="345"/>
      <c r="F565" s="345"/>
    </row>
    <row r="566" spans="2:6" x14ac:dyDescent="0.25">
      <c r="B566" s="345"/>
      <c r="C566" s="345"/>
      <c r="D566" s="345"/>
      <c r="E566" s="345"/>
      <c r="F566" s="345"/>
    </row>
    <row r="567" spans="2:6" x14ac:dyDescent="0.25">
      <c r="B567" s="345"/>
      <c r="C567" s="345"/>
      <c r="D567" s="345"/>
      <c r="E567" s="345"/>
      <c r="F567" s="345"/>
    </row>
    <row r="568" spans="2:6" x14ac:dyDescent="0.25">
      <c r="B568" s="345"/>
      <c r="C568" s="345"/>
      <c r="D568" s="345"/>
      <c r="E568" s="345"/>
      <c r="F568" s="345"/>
    </row>
    <row r="569" spans="2:6" x14ac:dyDescent="0.25">
      <c r="B569" s="345"/>
      <c r="C569" s="345"/>
      <c r="D569" s="345"/>
      <c r="E569" s="345"/>
      <c r="F569" s="345"/>
    </row>
    <row r="570" spans="2:6" x14ac:dyDescent="0.25">
      <c r="B570" s="345"/>
      <c r="C570" s="345"/>
      <c r="D570" s="345"/>
      <c r="E570" s="345"/>
      <c r="F570" s="345"/>
    </row>
    <row r="571" spans="2:6" x14ac:dyDescent="0.25">
      <c r="B571" s="345"/>
      <c r="C571" s="345"/>
      <c r="D571" s="345"/>
      <c r="E571" s="345"/>
      <c r="F571" s="345"/>
    </row>
    <row r="572" spans="2:6" x14ac:dyDescent="0.25">
      <c r="B572" s="345"/>
      <c r="C572" s="345"/>
      <c r="D572" s="345"/>
      <c r="E572" s="345"/>
      <c r="F572" s="345"/>
    </row>
    <row r="573" spans="2:6" x14ac:dyDescent="0.25">
      <c r="B573" s="345"/>
      <c r="C573" s="345"/>
      <c r="D573" s="345"/>
      <c r="E573" s="345"/>
      <c r="F573" s="345"/>
    </row>
    <row r="574" spans="2:6" x14ac:dyDescent="0.25">
      <c r="B574" s="345"/>
      <c r="C574" s="345"/>
      <c r="D574" s="345"/>
      <c r="E574" s="345"/>
      <c r="F574" s="345"/>
    </row>
    <row r="575" spans="2:6" x14ac:dyDescent="0.25">
      <c r="B575" s="345"/>
      <c r="C575" s="345"/>
      <c r="D575" s="345"/>
      <c r="E575" s="345"/>
      <c r="F575" s="345"/>
    </row>
    <row r="576" spans="2:6" x14ac:dyDescent="0.25">
      <c r="B576" s="345"/>
      <c r="C576" s="345"/>
      <c r="D576" s="345"/>
      <c r="E576" s="345"/>
      <c r="F576" s="345"/>
    </row>
    <row r="577" spans="2:6" x14ac:dyDescent="0.25">
      <c r="B577" s="345"/>
      <c r="C577" s="345"/>
      <c r="D577" s="345"/>
      <c r="E577" s="345"/>
      <c r="F577" s="345"/>
    </row>
    <row r="578" spans="2:6" x14ac:dyDescent="0.25">
      <c r="B578" s="345"/>
      <c r="C578" s="345"/>
      <c r="D578" s="345"/>
      <c r="E578" s="345"/>
      <c r="F578" s="345"/>
    </row>
    <row r="579" spans="2:6" x14ac:dyDescent="0.25">
      <c r="B579" s="345"/>
      <c r="C579" s="345"/>
      <c r="D579" s="345"/>
      <c r="E579" s="345"/>
      <c r="F579" s="345"/>
    </row>
    <row r="580" spans="2:6" x14ac:dyDescent="0.25">
      <c r="B580" s="345"/>
      <c r="C580" s="345"/>
      <c r="D580" s="345"/>
      <c r="E580" s="345"/>
      <c r="F580" s="345"/>
    </row>
    <row r="581" spans="2:6" x14ac:dyDescent="0.25">
      <c r="B581" s="345"/>
      <c r="C581" s="345"/>
      <c r="D581" s="345"/>
      <c r="E581" s="345"/>
      <c r="F581" s="345"/>
    </row>
    <row r="582" spans="2:6" x14ac:dyDescent="0.25">
      <c r="B582" s="345"/>
      <c r="C582" s="345"/>
      <c r="D582" s="345"/>
      <c r="E582" s="345"/>
      <c r="F582" s="345"/>
    </row>
    <row r="583" spans="2:6" x14ac:dyDescent="0.25">
      <c r="B583" s="345"/>
      <c r="C583" s="345"/>
      <c r="D583" s="345"/>
      <c r="E583" s="345"/>
      <c r="F583" s="345"/>
    </row>
    <row r="584" spans="2:6" x14ac:dyDescent="0.25">
      <c r="B584" s="345"/>
      <c r="C584" s="345"/>
      <c r="D584" s="345"/>
      <c r="E584" s="345"/>
      <c r="F584" s="345"/>
    </row>
    <row r="585" spans="2:6" x14ac:dyDescent="0.25">
      <c r="B585" s="345"/>
      <c r="C585" s="345"/>
      <c r="D585" s="345"/>
      <c r="E585" s="345"/>
      <c r="F585" s="345"/>
    </row>
    <row r="586" spans="2:6" x14ac:dyDescent="0.25">
      <c r="B586" s="345"/>
      <c r="C586" s="345"/>
      <c r="D586" s="345"/>
      <c r="E586" s="345"/>
      <c r="F586" s="345"/>
    </row>
    <row r="587" spans="2:6" x14ac:dyDescent="0.25">
      <c r="B587" s="345"/>
      <c r="C587" s="345"/>
      <c r="D587" s="345"/>
      <c r="E587" s="345"/>
      <c r="F587" s="345"/>
    </row>
    <row r="588" spans="2:6" x14ac:dyDescent="0.25">
      <c r="B588" s="345"/>
      <c r="C588" s="345"/>
      <c r="D588" s="345"/>
      <c r="E588" s="345"/>
      <c r="F588" s="345"/>
    </row>
    <row r="589" spans="2:6" x14ac:dyDescent="0.25">
      <c r="B589" s="345"/>
      <c r="C589" s="345"/>
      <c r="D589" s="345"/>
      <c r="E589" s="345"/>
      <c r="F589" s="345"/>
    </row>
    <row r="590" spans="2:6" x14ac:dyDescent="0.25">
      <c r="B590" s="345"/>
      <c r="C590" s="345"/>
      <c r="D590" s="345"/>
      <c r="E590" s="345"/>
      <c r="F590" s="345"/>
    </row>
    <row r="591" spans="2:6" x14ac:dyDescent="0.25">
      <c r="B591" s="345"/>
      <c r="C591" s="345"/>
      <c r="D591" s="345"/>
      <c r="E591" s="345"/>
      <c r="F591" s="345"/>
    </row>
    <row r="592" spans="2:6" x14ac:dyDescent="0.25">
      <c r="B592" s="345"/>
      <c r="C592" s="345"/>
      <c r="D592" s="345"/>
      <c r="E592" s="345"/>
      <c r="F592" s="345"/>
    </row>
    <row r="593" spans="2:6" x14ac:dyDescent="0.25">
      <c r="B593" s="345"/>
      <c r="C593" s="345"/>
      <c r="D593" s="345"/>
      <c r="E593" s="345"/>
      <c r="F593" s="345"/>
    </row>
    <row r="594" spans="2:6" x14ac:dyDescent="0.25">
      <c r="B594" s="345"/>
      <c r="C594" s="345"/>
      <c r="D594" s="345"/>
      <c r="E594" s="345"/>
      <c r="F594" s="345"/>
    </row>
    <row r="595" spans="2:6" x14ac:dyDescent="0.25">
      <c r="B595" s="345"/>
      <c r="C595" s="345"/>
      <c r="D595" s="345"/>
      <c r="E595" s="345"/>
      <c r="F595" s="345"/>
    </row>
    <row r="596" spans="2:6" x14ac:dyDescent="0.25">
      <c r="B596" s="345"/>
      <c r="C596" s="345"/>
      <c r="D596" s="345"/>
      <c r="E596" s="345"/>
      <c r="F596" s="345"/>
    </row>
    <row r="597" spans="2:6" x14ac:dyDescent="0.25">
      <c r="B597" s="345"/>
      <c r="C597" s="345"/>
      <c r="D597" s="345"/>
      <c r="E597" s="345"/>
      <c r="F597" s="345"/>
    </row>
    <row r="598" spans="2:6" x14ac:dyDescent="0.25">
      <c r="B598" s="345"/>
      <c r="C598" s="345"/>
      <c r="D598" s="345"/>
      <c r="E598" s="345"/>
      <c r="F598" s="345"/>
    </row>
    <row r="599" spans="2:6" x14ac:dyDescent="0.25">
      <c r="B599" s="345"/>
      <c r="C599" s="345"/>
      <c r="D599" s="345"/>
      <c r="E599" s="345"/>
      <c r="F599" s="345"/>
    </row>
    <row r="600" spans="2:6" x14ac:dyDescent="0.25">
      <c r="B600" s="345"/>
      <c r="C600" s="345"/>
      <c r="D600" s="345"/>
      <c r="E600" s="345"/>
      <c r="F600" s="345"/>
    </row>
    <row r="601" spans="2:6" x14ac:dyDescent="0.25">
      <c r="B601" s="345"/>
      <c r="C601" s="345"/>
      <c r="D601" s="345"/>
      <c r="E601" s="345"/>
      <c r="F601" s="345"/>
    </row>
    <row r="602" spans="2:6" x14ac:dyDescent="0.25">
      <c r="B602" s="345"/>
      <c r="C602" s="345"/>
      <c r="D602" s="345"/>
      <c r="E602" s="345"/>
      <c r="F602" s="345"/>
    </row>
    <row r="603" spans="2:6" x14ac:dyDescent="0.25">
      <c r="B603" s="345"/>
      <c r="C603" s="345"/>
      <c r="D603" s="345"/>
      <c r="E603" s="345"/>
      <c r="F603" s="345"/>
    </row>
    <row r="604" spans="2:6" x14ac:dyDescent="0.25">
      <c r="B604" s="345"/>
      <c r="C604" s="345"/>
      <c r="D604" s="345"/>
      <c r="E604" s="345"/>
      <c r="F604" s="345"/>
    </row>
    <row r="605" spans="2:6" x14ac:dyDescent="0.25">
      <c r="B605" s="345"/>
      <c r="C605" s="345"/>
      <c r="D605" s="345"/>
      <c r="E605" s="345"/>
      <c r="F605" s="345"/>
    </row>
    <row r="606" spans="2:6" x14ac:dyDescent="0.25">
      <c r="B606" s="345"/>
      <c r="C606" s="345"/>
      <c r="D606" s="345"/>
      <c r="E606" s="345"/>
      <c r="F606" s="345"/>
    </row>
    <row r="607" spans="2:6" x14ac:dyDescent="0.25">
      <c r="B607" s="345"/>
      <c r="C607" s="345"/>
      <c r="D607" s="345"/>
      <c r="E607" s="345"/>
      <c r="F607" s="345"/>
    </row>
    <row r="608" spans="2:6" x14ac:dyDescent="0.25">
      <c r="B608" s="345"/>
      <c r="C608" s="345"/>
      <c r="D608" s="345"/>
      <c r="E608" s="345"/>
      <c r="F608" s="345"/>
    </row>
    <row r="609" spans="2:6" x14ac:dyDescent="0.25">
      <c r="B609" s="345"/>
      <c r="C609" s="345"/>
      <c r="D609" s="345"/>
      <c r="E609" s="345"/>
      <c r="F609" s="345"/>
    </row>
    <row r="610" spans="2:6" x14ac:dyDescent="0.25">
      <c r="B610" s="345"/>
      <c r="C610" s="345"/>
      <c r="D610" s="345"/>
      <c r="E610" s="345"/>
      <c r="F610" s="345"/>
    </row>
    <row r="611" spans="2:6" x14ac:dyDescent="0.25">
      <c r="B611" s="345"/>
      <c r="C611" s="345"/>
      <c r="D611" s="345"/>
      <c r="E611" s="345"/>
      <c r="F611" s="345"/>
    </row>
    <row r="612" spans="2:6" x14ac:dyDescent="0.25">
      <c r="B612" s="345"/>
      <c r="C612" s="345"/>
      <c r="D612" s="345"/>
      <c r="E612" s="345"/>
      <c r="F612" s="345"/>
    </row>
    <row r="613" spans="2:6" x14ac:dyDescent="0.25">
      <c r="B613" s="345"/>
      <c r="C613" s="345"/>
      <c r="D613" s="345"/>
      <c r="E613" s="345"/>
      <c r="F613" s="345"/>
    </row>
    <row r="614" spans="2:6" x14ac:dyDescent="0.25">
      <c r="B614" s="345"/>
      <c r="C614" s="345"/>
      <c r="D614" s="345"/>
      <c r="E614" s="345"/>
      <c r="F614" s="345"/>
    </row>
    <row r="615" spans="2:6" x14ac:dyDescent="0.25">
      <c r="B615" s="345"/>
      <c r="C615" s="345"/>
      <c r="D615" s="345"/>
      <c r="E615" s="345"/>
      <c r="F615" s="345"/>
    </row>
    <row r="616" spans="2:6" x14ac:dyDescent="0.25">
      <c r="B616" s="345"/>
      <c r="C616" s="345"/>
      <c r="D616" s="345"/>
      <c r="E616" s="345"/>
      <c r="F616" s="345"/>
    </row>
    <row r="617" spans="2:6" x14ac:dyDescent="0.25">
      <c r="B617" s="345"/>
      <c r="C617" s="345"/>
      <c r="D617" s="345"/>
      <c r="E617" s="345"/>
      <c r="F617" s="345"/>
    </row>
    <row r="618" spans="2:6" x14ac:dyDescent="0.25">
      <c r="B618" s="345"/>
      <c r="C618" s="345"/>
      <c r="D618" s="345"/>
      <c r="E618" s="345"/>
      <c r="F618" s="345"/>
    </row>
    <row r="619" spans="2:6" x14ac:dyDescent="0.25">
      <c r="B619" s="345"/>
      <c r="C619" s="345"/>
      <c r="D619" s="345"/>
      <c r="E619" s="345"/>
      <c r="F619" s="345"/>
    </row>
    <row r="620" spans="2:6" x14ac:dyDescent="0.25">
      <c r="B620" s="345"/>
      <c r="C620" s="345"/>
      <c r="D620" s="345"/>
      <c r="E620" s="345"/>
      <c r="F620" s="345"/>
    </row>
    <row r="621" spans="2:6" x14ac:dyDescent="0.25">
      <c r="B621" s="345"/>
      <c r="C621" s="345"/>
      <c r="D621" s="345"/>
      <c r="E621" s="345"/>
      <c r="F621" s="345"/>
    </row>
    <row r="622" spans="2:6" x14ac:dyDescent="0.25">
      <c r="B622" s="345"/>
      <c r="C622" s="345"/>
      <c r="D622" s="345"/>
      <c r="E622" s="345"/>
      <c r="F622" s="345"/>
    </row>
    <row r="623" spans="2:6" x14ac:dyDescent="0.25">
      <c r="B623" s="345"/>
      <c r="C623" s="345"/>
      <c r="D623" s="345"/>
      <c r="E623" s="345"/>
      <c r="F623" s="345"/>
    </row>
    <row r="624" spans="2:6" x14ac:dyDescent="0.25">
      <c r="B624" s="345"/>
      <c r="C624" s="345"/>
      <c r="D624" s="345"/>
      <c r="E624" s="345"/>
      <c r="F624" s="345"/>
    </row>
    <row r="625" spans="2:6" x14ac:dyDescent="0.25">
      <c r="B625" s="345"/>
      <c r="C625" s="345"/>
      <c r="D625" s="345"/>
      <c r="E625" s="345"/>
      <c r="F625" s="345"/>
    </row>
    <row r="626" spans="2:6" x14ac:dyDescent="0.25">
      <c r="B626" s="345"/>
      <c r="C626" s="345"/>
      <c r="D626" s="345"/>
      <c r="E626" s="345"/>
      <c r="F626" s="345"/>
    </row>
    <row r="627" spans="2:6" x14ac:dyDescent="0.25">
      <c r="B627" s="345"/>
      <c r="C627" s="345"/>
      <c r="D627" s="345"/>
      <c r="E627" s="345"/>
      <c r="F627" s="345"/>
    </row>
    <row r="628" spans="2:6" x14ac:dyDescent="0.25">
      <c r="B628" s="345"/>
      <c r="C628" s="345"/>
      <c r="D628" s="345"/>
      <c r="E628" s="345"/>
      <c r="F628" s="345"/>
    </row>
    <row r="629" spans="2:6" x14ac:dyDescent="0.25">
      <c r="B629" s="345"/>
      <c r="C629" s="345"/>
      <c r="D629" s="345"/>
      <c r="E629" s="345"/>
      <c r="F629" s="345"/>
    </row>
    <row r="630" spans="2:6" x14ac:dyDescent="0.25">
      <c r="B630" s="345"/>
      <c r="C630" s="345"/>
      <c r="D630" s="345"/>
      <c r="E630" s="345"/>
      <c r="F630" s="345"/>
    </row>
    <row r="631" spans="2:6" x14ac:dyDescent="0.25">
      <c r="B631" s="345"/>
      <c r="C631" s="345"/>
      <c r="D631" s="345"/>
      <c r="E631" s="345"/>
      <c r="F631" s="345"/>
    </row>
    <row r="632" spans="2:6" x14ac:dyDescent="0.25">
      <c r="B632" s="345"/>
      <c r="C632" s="345"/>
      <c r="D632" s="345"/>
      <c r="E632" s="345"/>
      <c r="F632" s="345"/>
    </row>
    <row r="633" spans="2:6" x14ac:dyDescent="0.25">
      <c r="B633" s="345"/>
      <c r="C633" s="345"/>
      <c r="D633" s="345"/>
      <c r="E633" s="345"/>
      <c r="F633" s="345"/>
    </row>
    <row r="634" spans="2:6" x14ac:dyDescent="0.25">
      <c r="B634" s="345"/>
      <c r="C634" s="345"/>
      <c r="D634" s="345"/>
      <c r="E634" s="345"/>
      <c r="F634" s="345"/>
    </row>
    <row r="635" spans="2:6" x14ac:dyDescent="0.25">
      <c r="B635" s="345"/>
      <c r="C635" s="345"/>
      <c r="D635" s="345"/>
      <c r="E635" s="345"/>
      <c r="F635" s="345"/>
    </row>
    <row r="636" spans="2:6" x14ac:dyDescent="0.25">
      <c r="B636" s="345"/>
      <c r="C636" s="345"/>
      <c r="D636" s="345"/>
      <c r="E636" s="345"/>
      <c r="F636" s="345"/>
    </row>
    <row r="637" spans="2:6" x14ac:dyDescent="0.25">
      <c r="B637" s="345"/>
      <c r="C637" s="345"/>
      <c r="D637" s="345"/>
      <c r="E637" s="345"/>
      <c r="F637" s="345"/>
    </row>
    <row r="638" spans="2:6" x14ac:dyDescent="0.25">
      <c r="B638" s="345"/>
      <c r="C638" s="345"/>
      <c r="D638" s="345"/>
      <c r="E638" s="345"/>
      <c r="F638" s="345"/>
    </row>
    <row r="639" spans="2:6" x14ac:dyDescent="0.25">
      <c r="B639" s="345"/>
      <c r="C639" s="345"/>
      <c r="D639" s="345"/>
      <c r="E639" s="345"/>
      <c r="F639" s="345"/>
    </row>
    <row r="640" spans="2:6" x14ac:dyDescent="0.25">
      <c r="B640" s="345"/>
      <c r="C640" s="345"/>
      <c r="D640" s="345"/>
      <c r="E640" s="345"/>
      <c r="F640" s="345"/>
    </row>
    <row r="641" spans="2:6" x14ac:dyDescent="0.25">
      <c r="B641" s="345"/>
      <c r="C641" s="345"/>
      <c r="D641" s="345"/>
      <c r="E641" s="345"/>
      <c r="F641" s="345"/>
    </row>
    <row r="642" spans="2:6" x14ac:dyDescent="0.25">
      <c r="B642" s="345"/>
      <c r="C642" s="345"/>
      <c r="D642" s="345"/>
      <c r="E642" s="345"/>
      <c r="F642" s="345"/>
    </row>
    <row r="643" spans="2:6" x14ac:dyDescent="0.25">
      <c r="B643" s="345"/>
      <c r="C643" s="345"/>
      <c r="D643" s="345"/>
      <c r="E643" s="345"/>
      <c r="F643" s="345"/>
    </row>
    <row r="644" spans="2:6" x14ac:dyDescent="0.25">
      <c r="B644" s="345"/>
      <c r="C644" s="345"/>
      <c r="D644" s="345"/>
      <c r="E644" s="345"/>
      <c r="F644" s="345"/>
    </row>
    <row r="645" spans="2:6" x14ac:dyDescent="0.25">
      <c r="B645" s="345"/>
      <c r="C645" s="345"/>
      <c r="D645" s="345"/>
      <c r="E645" s="345"/>
      <c r="F645" s="345"/>
    </row>
    <row r="646" spans="2:6" x14ac:dyDescent="0.25">
      <c r="B646" s="345"/>
      <c r="C646" s="345"/>
      <c r="D646" s="345"/>
      <c r="E646" s="345"/>
      <c r="F646" s="345"/>
    </row>
    <row r="647" spans="2:6" x14ac:dyDescent="0.25">
      <c r="B647" s="345"/>
      <c r="C647" s="345"/>
      <c r="D647" s="345"/>
      <c r="E647" s="345"/>
      <c r="F647" s="345"/>
    </row>
    <row r="648" spans="2:6" x14ac:dyDescent="0.25">
      <c r="B648" s="345"/>
      <c r="C648" s="345"/>
      <c r="D648" s="345"/>
      <c r="E648" s="345"/>
      <c r="F648" s="345"/>
    </row>
    <row r="649" spans="2:6" x14ac:dyDescent="0.25">
      <c r="B649" s="345"/>
      <c r="C649" s="345"/>
      <c r="D649" s="345"/>
      <c r="E649" s="345"/>
      <c r="F649" s="345"/>
    </row>
    <row r="650" spans="2:6" x14ac:dyDescent="0.25">
      <c r="B650" s="345"/>
      <c r="C650" s="345"/>
      <c r="D650" s="345"/>
      <c r="E650" s="345"/>
      <c r="F650" s="345"/>
    </row>
    <row r="651" spans="2:6" x14ac:dyDescent="0.25">
      <c r="B651" s="345"/>
      <c r="C651" s="345"/>
      <c r="D651" s="345"/>
      <c r="E651" s="345"/>
      <c r="F651" s="345"/>
    </row>
    <row r="652" spans="2:6" x14ac:dyDescent="0.25">
      <c r="B652" s="345"/>
      <c r="C652" s="345"/>
      <c r="D652" s="345"/>
      <c r="E652" s="345"/>
      <c r="F652" s="345"/>
    </row>
    <row r="653" spans="2:6" x14ac:dyDescent="0.25">
      <c r="B653" s="345"/>
      <c r="C653" s="345"/>
      <c r="D653" s="345"/>
      <c r="E653" s="345"/>
      <c r="F653" s="345"/>
    </row>
    <row r="654" spans="2:6" x14ac:dyDescent="0.25">
      <c r="B654" s="345"/>
      <c r="C654" s="345"/>
      <c r="D654" s="345"/>
      <c r="E654" s="345"/>
      <c r="F654" s="345"/>
    </row>
    <row r="655" spans="2:6" x14ac:dyDescent="0.25">
      <c r="B655" s="345"/>
      <c r="C655" s="345"/>
      <c r="D655" s="345"/>
      <c r="E655" s="345"/>
      <c r="F655" s="345"/>
    </row>
    <row r="656" spans="2:6" x14ac:dyDescent="0.25">
      <c r="B656" s="345"/>
      <c r="C656" s="345"/>
      <c r="D656" s="345"/>
      <c r="E656" s="345"/>
      <c r="F656" s="345"/>
    </row>
    <row r="657" spans="2:6" x14ac:dyDescent="0.25">
      <c r="B657" s="345"/>
      <c r="C657" s="345"/>
      <c r="D657" s="345"/>
      <c r="E657" s="345"/>
      <c r="F657" s="345"/>
    </row>
    <row r="658" spans="2:6" x14ac:dyDescent="0.25">
      <c r="B658" s="345"/>
      <c r="C658" s="345"/>
      <c r="D658" s="345"/>
      <c r="E658" s="345"/>
      <c r="F658" s="345"/>
    </row>
    <row r="659" spans="2:6" x14ac:dyDescent="0.25">
      <c r="B659" s="345"/>
      <c r="C659" s="345"/>
      <c r="D659" s="345"/>
      <c r="E659" s="345"/>
      <c r="F659" s="345"/>
    </row>
    <row r="660" spans="2:6" x14ac:dyDescent="0.25">
      <c r="B660" s="345"/>
      <c r="C660" s="345"/>
      <c r="D660" s="345"/>
      <c r="E660" s="345"/>
      <c r="F660" s="345"/>
    </row>
    <row r="661" spans="2:6" x14ac:dyDescent="0.25">
      <c r="B661" s="345"/>
      <c r="C661" s="345"/>
      <c r="D661" s="345"/>
      <c r="E661" s="345"/>
      <c r="F661" s="345"/>
    </row>
    <row r="662" spans="2:6" x14ac:dyDescent="0.25">
      <c r="B662" s="345"/>
      <c r="C662" s="345"/>
      <c r="D662" s="345"/>
      <c r="E662" s="345"/>
      <c r="F662" s="345"/>
    </row>
    <row r="663" spans="2:6" x14ac:dyDescent="0.25">
      <c r="B663" s="345"/>
      <c r="C663" s="345"/>
      <c r="D663" s="345"/>
      <c r="E663" s="345"/>
      <c r="F663" s="345"/>
    </row>
    <row r="664" spans="2:6" x14ac:dyDescent="0.25">
      <c r="B664" s="345"/>
      <c r="C664" s="345"/>
      <c r="D664" s="345"/>
      <c r="E664" s="345"/>
      <c r="F664" s="345"/>
    </row>
    <row r="665" spans="2:6" x14ac:dyDescent="0.25">
      <c r="B665" s="345"/>
      <c r="C665" s="345"/>
      <c r="D665" s="345"/>
      <c r="E665" s="345"/>
      <c r="F665" s="345"/>
    </row>
    <row r="666" spans="2:6" x14ac:dyDescent="0.25">
      <c r="B666" s="345"/>
      <c r="C666" s="345"/>
      <c r="D666" s="345"/>
      <c r="E666" s="345"/>
      <c r="F666" s="345"/>
    </row>
    <row r="667" spans="2:6" x14ac:dyDescent="0.25">
      <c r="B667" s="345"/>
      <c r="C667" s="345"/>
      <c r="D667" s="345"/>
      <c r="E667" s="345"/>
      <c r="F667" s="345"/>
    </row>
    <row r="668" spans="2:6" x14ac:dyDescent="0.25">
      <c r="B668" s="345"/>
      <c r="C668" s="345"/>
      <c r="D668" s="345"/>
      <c r="E668" s="345"/>
      <c r="F668" s="345"/>
    </row>
    <row r="669" spans="2:6" x14ac:dyDescent="0.25">
      <c r="B669" s="345"/>
      <c r="C669" s="345"/>
      <c r="D669" s="345"/>
      <c r="E669" s="345"/>
      <c r="F669" s="345"/>
    </row>
    <row r="670" spans="2:6" x14ac:dyDescent="0.25">
      <c r="B670" s="345"/>
      <c r="C670" s="345"/>
      <c r="D670" s="345"/>
      <c r="E670" s="345"/>
      <c r="F670" s="345"/>
    </row>
    <row r="671" spans="2:6" x14ac:dyDescent="0.25">
      <c r="B671" s="345"/>
      <c r="C671" s="345"/>
      <c r="D671" s="345"/>
      <c r="E671" s="345"/>
      <c r="F671" s="345"/>
    </row>
    <row r="672" spans="2:6" x14ac:dyDescent="0.25">
      <c r="B672" s="345"/>
      <c r="C672" s="345"/>
      <c r="D672" s="345"/>
      <c r="E672" s="345"/>
      <c r="F672" s="345"/>
    </row>
    <row r="673" spans="2:6" x14ac:dyDescent="0.25">
      <c r="B673" s="345"/>
      <c r="C673" s="345"/>
      <c r="D673" s="345"/>
      <c r="E673" s="345"/>
      <c r="F673" s="345"/>
    </row>
    <row r="674" spans="2:6" x14ac:dyDescent="0.25">
      <c r="B674" s="345"/>
      <c r="C674" s="345"/>
      <c r="D674" s="345"/>
      <c r="E674" s="345"/>
      <c r="F674" s="345"/>
    </row>
    <row r="675" spans="2:6" x14ac:dyDescent="0.25">
      <c r="B675" s="345"/>
      <c r="C675" s="345"/>
      <c r="D675" s="345"/>
      <c r="E675" s="345"/>
      <c r="F675" s="345"/>
    </row>
    <row r="676" spans="2:6" x14ac:dyDescent="0.25">
      <c r="B676" s="345"/>
      <c r="C676" s="345"/>
      <c r="D676" s="345"/>
      <c r="E676" s="345"/>
      <c r="F676" s="345"/>
    </row>
    <row r="677" spans="2:6" x14ac:dyDescent="0.25">
      <c r="B677" s="345"/>
      <c r="C677" s="345"/>
      <c r="D677" s="345"/>
      <c r="E677" s="345"/>
      <c r="F677" s="345"/>
    </row>
    <row r="678" spans="2:6" x14ac:dyDescent="0.25">
      <c r="B678" s="345"/>
      <c r="C678" s="345"/>
      <c r="D678" s="345"/>
      <c r="E678" s="345"/>
      <c r="F678" s="345"/>
    </row>
    <row r="679" spans="2:6" x14ac:dyDescent="0.25">
      <c r="B679" s="345"/>
      <c r="C679" s="345"/>
      <c r="D679" s="345"/>
      <c r="E679" s="345"/>
      <c r="F679" s="345"/>
    </row>
    <row r="680" spans="2:6" x14ac:dyDescent="0.25">
      <c r="B680" s="345"/>
      <c r="C680" s="345"/>
      <c r="D680" s="345"/>
      <c r="E680" s="345"/>
      <c r="F680" s="345"/>
    </row>
    <row r="681" spans="2:6" x14ac:dyDescent="0.25">
      <c r="B681" s="345"/>
      <c r="C681" s="345"/>
      <c r="D681" s="345"/>
      <c r="E681" s="345"/>
      <c r="F681" s="345"/>
    </row>
    <row r="682" spans="2:6" x14ac:dyDescent="0.25">
      <c r="B682" s="345"/>
      <c r="C682" s="345"/>
      <c r="D682" s="345"/>
      <c r="E682" s="345"/>
      <c r="F682" s="345"/>
    </row>
    <row r="683" spans="2:6" x14ac:dyDescent="0.25">
      <c r="B683" s="345"/>
      <c r="C683" s="345"/>
      <c r="D683" s="345"/>
      <c r="E683" s="345"/>
      <c r="F683" s="345"/>
    </row>
    <row r="684" spans="2:6" x14ac:dyDescent="0.25">
      <c r="B684" s="345"/>
      <c r="C684" s="345"/>
      <c r="D684" s="345"/>
      <c r="E684" s="345"/>
      <c r="F684" s="345"/>
    </row>
    <row r="685" spans="2:6" x14ac:dyDescent="0.25">
      <c r="B685" s="345"/>
      <c r="C685" s="345"/>
      <c r="D685" s="345"/>
      <c r="E685" s="345"/>
      <c r="F685" s="345"/>
    </row>
    <row r="686" spans="2:6" x14ac:dyDescent="0.25">
      <c r="B686" s="345"/>
      <c r="C686" s="345"/>
      <c r="D686" s="345"/>
      <c r="E686" s="345"/>
      <c r="F686" s="345"/>
    </row>
    <row r="687" spans="2:6" x14ac:dyDescent="0.25">
      <c r="B687" s="345"/>
      <c r="C687" s="345"/>
      <c r="D687" s="345"/>
      <c r="E687" s="345"/>
      <c r="F687" s="345"/>
    </row>
    <row r="688" spans="2:6" x14ac:dyDescent="0.25">
      <c r="B688" s="345"/>
      <c r="C688" s="345"/>
      <c r="D688" s="345"/>
      <c r="E688" s="345"/>
      <c r="F688" s="345"/>
    </row>
    <row r="689" spans="2:6" x14ac:dyDescent="0.25">
      <c r="B689" s="345"/>
      <c r="C689" s="345"/>
      <c r="D689" s="345"/>
      <c r="E689" s="345"/>
      <c r="F689" s="345"/>
    </row>
    <row r="690" spans="2:6" x14ac:dyDescent="0.25">
      <c r="B690" s="345"/>
      <c r="C690" s="345"/>
      <c r="D690" s="345"/>
      <c r="E690" s="345"/>
      <c r="F690" s="345"/>
    </row>
    <row r="691" spans="2:6" x14ac:dyDescent="0.25">
      <c r="B691" s="345"/>
      <c r="C691" s="345"/>
      <c r="D691" s="345"/>
      <c r="E691" s="345"/>
      <c r="F691" s="345"/>
    </row>
    <row r="692" spans="2:6" x14ac:dyDescent="0.25">
      <c r="B692" s="345"/>
      <c r="C692" s="345"/>
      <c r="D692" s="345"/>
      <c r="E692" s="345"/>
      <c r="F692" s="345"/>
    </row>
    <row r="693" spans="2:6" x14ac:dyDescent="0.25">
      <c r="B693" s="345"/>
      <c r="C693" s="345"/>
      <c r="D693" s="345"/>
      <c r="E693" s="345"/>
      <c r="F693" s="345"/>
    </row>
    <row r="694" spans="2:6" x14ac:dyDescent="0.25">
      <c r="B694" s="345"/>
      <c r="C694" s="345"/>
      <c r="D694" s="345"/>
      <c r="E694" s="345"/>
      <c r="F694" s="345"/>
    </row>
    <row r="695" spans="2:6" x14ac:dyDescent="0.25">
      <c r="B695" s="345"/>
      <c r="C695" s="345"/>
      <c r="D695" s="345"/>
      <c r="E695" s="345"/>
      <c r="F695" s="345"/>
    </row>
    <row r="696" spans="2:6" x14ac:dyDescent="0.25">
      <c r="B696" s="345"/>
      <c r="C696" s="345"/>
      <c r="D696" s="345"/>
      <c r="E696" s="345"/>
      <c r="F696" s="345"/>
    </row>
    <row r="697" spans="2:6" x14ac:dyDescent="0.25">
      <c r="B697" s="345"/>
      <c r="C697" s="345"/>
      <c r="D697" s="345"/>
      <c r="E697" s="345"/>
      <c r="F697" s="345"/>
    </row>
    <row r="698" spans="2:6" x14ac:dyDescent="0.25">
      <c r="B698" s="345"/>
      <c r="C698" s="345"/>
      <c r="D698" s="345"/>
      <c r="E698" s="345"/>
      <c r="F698" s="345"/>
    </row>
    <row r="699" spans="2:6" x14ac:dyDescent="0.25">
      <c r="B699" s="345"/>
      <c r="C699" s="345"/>
      <c r="D699" s="345"/>
      <c r="E699" s="345"/>
      <c r="F699" s="345"/>
    </row>
    <row r="700" spans="2:6" x14ac:dyDescent="0.25">
      <c r="B700" s="345"/>
      <c r="C700" s="345"/>
      <c r="D700" s="345"/>
      <c r="E700" s="345"/>
      <c r="F700" s="345"/>
    </row>
    <row r="701" spans="2:6" x14ac:dyDescent="0.25">
      <c r="B701" s="345"/>
      <c r="C701" s="345"/>
      <c r="D701" s="345"/>
      <c r="E701" s="345"/>
      <c r="F701" s="345"/>
    </row>
    <row r="702" spans="2:6" x14ac:dyDescent="0.25">
      <c r="B702" s="345"/>
      <c r="C702" s="345"/>
      <c r="D702" s="345"/>
      <c r="E702" s="345"/>
      <c r="F702" s="345"/>
    </row>
    <row r="703" spans="2:6" x14ac:dyDescent="0.25">
      <c r="B703" s="345"/>
      <c r="C703" s="345"/>
      <c r="D703" s="345"/>
      <c r="E703" s="345"/>
      <c r="F703" s="345"/>
    </row>
    <row r="704" spans="2:6" x14ac:dyDescent="0.25">
      <c r="B704" s="345"/>
      <c r="C704" s="345"/>
      <c r="D704" s="345"/>
      <c r="E704" s="345"/>
      <c r="F704" s="345"/>
    </row>
    <row r="705" spans="2:6" x14ac:dyDescent="0.25">
      <c r="B705" s="345"/>
      <c r="C705" s="345"/>
      <c r="D705" s="345"/>
      <c r="E705" s="345"/>
      <c r="F705" s="345"/>
    </row>
    <row r="706" spans="2:6" x14ac:dyDescent="0.25">
      <c r="B706" s="345"/>
      <c r="C706" s="345"/>
      <c r="D706" s="345"/>
      <c r="E706" s="345"/>
      <c r="F706" s="345"/>
    </row>
    <row r="707" spans="2:6" x14ac:dyDescent="0.25">
      <c r="B707" s="345"/>
      <c r="C707" s="345"/>
      <c r="D707" s="345"/>
      <c r="E707" s="345"/>
      <c r="F707" s="345"/>
    </row>
    <row r="708" spans="2:6" x14ac:dyDescent="0.25">
      <c r="B708" s="345"/>
      <c r="C708" s="345"/>
      <c r="D708" s="345"/>
      <c r="E708" s="345"/>
      <c r="F708" s="345"/>
    </row>
    <row r="709" spans="2:6" x14ac:dyDescent="0.25">
      <c r="B709" s="345"/>
      <c r="C709" s="345"/>
      <c r="D709" s="345"/>
      <c r="E709" s="345"/>
      <c r="F709" s="345"/>
    </row>
    <row r="710" spans="2:6" x14ac:dyDescent="0.25">
      <c r="B710" s="345"/>
      <c r="C710" s="345"/>
      <c r="D710" s="345"/>
      <c r="E710" s="345"/>
      <c r="F710" s="345"/>
    </row>
    <row r="711" spans="2:6" x14ac:dyDescent="0.25">
      <c r="B711" s="345"/>
      <c r="C711" s="345"/>
      <c r="D711" s="345"/>
      <c r="E711" s="345"/>
      <c r="F711" s="345"/>
    </row>
    <row r="712" spans="2:6" x14ac:dyDescent="0.25">
      <c r="B712" s="345"/>
      <c r="C712" s="345"/>
      <c r="D712" s="345"/>
      <c r="E712" s="345"/>
      <c r="F712" s="345"/>
    </row>
    <row r="713" spans="2:6" x14ac:dyDescent="0.25">
      <c r="B713" s="345"/>
      <c r="C713" s="345"/>
      <c r="D713" s="345"/>
      <c r="E713" s="345"/>
      <c r="F713" s="345"/>
    </row>
    <row r="714" spans="2:6" x14ac:dyDescent="0.25">
      <c r="B714" s="345"/>
      <c r="C714" s="345"/>
      <c r="D714" s="345"/>
      <c r="E714" s="345"/>
      <c r="F714" s="345"/>
    </row>
    <row r="715" spans="2:6" x14ac:dyDescent="0.25">
      <c r="B715" s="345"/>
      <c r="C715" s="345"/>
      <c r="D715" s="345"/>
      <c r="E715" s="345"/>
      <c r="F715" s="345"/>
    </row>
    <row r="716" spans="2:6" x14ac:dyDescent="0.25">
      <c r="B716" s="345"/>
      <c r="C716" s="345"/>
      <c r="D716" s="345"/>
      <c r="E716" s="345"/>
      <c r="F716" s="345"/>
    </row>
    <row r="717" spans="2:6" x14ac:dyDescent="0.25">
      <c r="B717" s="345"/>
      <c r="C717" s="345"/>
      <c r="D717" s="345"/>
      <c r="E717" s="345"/>
      <c r="F717" s="345"/>
    </row>
    <row r="718" spans="2:6" x14ac:dyDescent="0.25">
      <c r="B718" s="345"/>
      <c r="C718" s="345"/>
      <c r="D718" s="345"/>
      <c r="E718" s="345"/>
      <c r="F718" s="345"/>
    </row>
    <row r="719" spans="2:6" x14ac:dyDescent="0.25">
      <c r="B719" s="345"/>
      <c r="C719" s="345"/>
      <c r="D719" s="345"/>
      <c r="E719" s="345"/>
      <c r="F719" s="345"/>
    </row>
    <row r="720" spans="2:6" x14ac:dyDescent="0.25">
      <c r="B720" s="345"/>
      <c r="C720" s="345"/>
      <c r="D720" s="345"/>
      <c r="E720" s="345"/>
      <c r="F720" s="345"/>
    </row>
    <row r="721" spans="2:6" x14ac:dyDescent="0.25">
      <c r="B721" s="345"/>
      <c r="C721" s="345"/>
      <c r="D721" s="345"/>
      <c r="E721" s="345"/>
      <c r="F721" s="345"/>
    </row>
    <row r="722" spans="2:6" x14ac:dyDescent="0.25">
      <c r="B722" s="345"/>
      <c r="C722" s="345"/>
      <c r="D722" s="345"/>
      <c r="E722" s="345"/>
      <c r="F722" s="345"/>
    </row>
    <row r="723" spans="2:6" x14ac:dyDescent="0.25">
      <c r="B723" s="345"/>
      <c r="C723" s="345"/>
      <c r="D723" s="345"/>
      <c r="E723" s="345"/>
      <c r="F723" s="345"/>
    </row>
    <row r="724" spans="2:6" x14ac:dyDescent="0.25">
      <c r="B724" s="345"/>
      <c r="C724" s="345"/>
      <c r="D724" s="345"/>
      <c r="E724" s="345"/>
      <c r="F724" s="345"/>
    </row>
    <row r="725" spans="2:6" x14ac:dyDescent="0.25">
      <c r="B725" s="345"/>
      <c r="C725" s="345"/>
      <c r="D725" s="345"/>
      <c r="E725" s="345"/>
      <c r="F725" s="345"/>
    </row>
    <row r="726" spans="2:6" x14ac:dyDescent="0.25">
      <c r="B726" s="345"/>
      <c r="C726" s="345"/>
      <c r="D726" s="345"/>
      <c r="E726" s="345"/>
      <c r="F726" s="345"/>
    </row>
    <row r="727" spans="2:6" x14ac:dyDescent="0.25">
      <c r="B727" s="345"/>
      <c r="C727" s="345"/>
      <c r="D727" s="345"/>
      <c r="E727" s="345"/>
      <c r="F727" s="345"/>
    </row>
    <row r="728" spans="2:6" x14ac:dyDescent="0.25">
      <c r="B728" s="345"/>
      <c r="C728" s="345"/>
      <c r="D728" s="345"/>
      <c r="E728" s="345"/>
      <c r="F728" s="345"/>
    </row>
    <row r="729" spans="2:6" x14ac:dyDescent="0.25">
      <c r="B729" s="345"/>
      <c r="C729" s="345"/>
      <c r="D729" s="345"/>
      <c r="E729" s="345"/>
      <c r="F729" s="345"/>
    </row>
    <row r="730" spans="2:6" x14ac:dyDescent="0.25">
      <c r="B730" s="345"/>
      <c r="C730" s="345"/>
      <c r="D730" s="345"/>
      <c r="E730" s="345"/>
      <c r="F730" s="345"/>
    </row>
    <row r="731" spans="2:6" x14ac:dyDescent="0.25">
      <c r="B731" s="345"/>
      <c r="C731" s="345"/>
      <c r="D731" s="345"/>
      <c r="E731" s="345"/>
      <c r="F731" s="345"/>
    </row>
    <row r="732" spans="2:6" x14ac:dyDescent="0.25">
      <c r="B732" s="345"/>
      <c r="C732" s="345"/>
      <c r="D732" s="345"/>
      <c r="E732" s="345"/>
      <c r="F732" s="345"/>
    </row>
    <row r="733" spans="2:6" x14ac:dyDescent="0.25">
      <c r="B733" s="345"/>
      <c r="C733" s="345"/>
      <c r="D733" s="345"/>
      <c r="E733" s="345"/>
      <c r="F733" s="345"/>
    </row>
    <row r="734" spans="2:6" x14ac:dyDescent="0.25">
      <c r="B734" s="345"/>
      <c r="C734" s="345"/>
      <c r="D734" s="345"/>
      <c r="E734" s="345"/>
      <c r="F734" s="345"/>
    </row>
    <row r="735" spans="2:6" x14ac:dyDescent="0.25">
      <c r="B735" s="345"/>
      <c r="C735" s="345"/>
      <c r="D735" s="345"/>
      <c r="E735" s="345"/>
      <c r="F735" s="345"/>
    </row>
    <row r="736" spans="2:6" x14ac:dyDescent="0.25">
      <c r="B736" s="345"/>
      <c r="C736" s="345"/>
      <c r="D736" s="345"/>
      <c r="E736" s="345"/>
      <c r="F736" s="345"/>
    </row>
    <row r="737" spans="2:6" x14ac:dyDescent="0.25">
      <c r="B737" s="345"/>
      <c r="C737" s="345"/>
      <c r="D737" s="345"/>
      <c r="E737" s="345"/>
      <c r="F737" s="345"/>
    </row>
    <row r="738" spans="2:6" x14ac:dyDescent="0.25">
      <c r="B738" s="345"/>
      <c r="C738" s="345"/>
      <c r="D738" s="345"/>
      <c r="E738" s="345"/>
      <c r="F738" s="345"/>
    </row>
    <row r="739" spans="2:6" x14ac:dyDescent="0.25">
      <c r="B739" s="345"/>
      <c r="C739" s="345"/>
      <c r="D739" s="345"/>
      <c r="E739" s="345"/>
      <c r="F739" s="345"/>
    </row>
    <row r="740" spans="2:6" x14ac:dyDescent="0.25">
      <c r="B740" s="345"/>
      <c r="C740" s="345"/>
      <c r="D740" s="345"/>
      <c r="E740" s="345"/>
      <c r="F740" s="345"/>
    </row>
    <row r="741" spans="2:6" x14ac:dyDescent="0.25">
      <c r="B741" s="345"/>
      <c r="C741" s="345"/>
      <c r="D741" s="345"/>
      <c r="E741" s="345"/>
      <c r="F741" s="345"/>
    </row>
    <row r="742" spans="2:6" x14ac:dyDescent="0.25">
      <c r="B742" s="345"/>
      <c r="C742" s="345"/>
      <c r="D742" s="345"/>
      <c r="E742" s="345"/>
      <c r="F742" s="345"/>
    </row>
    <row r="743" spans="2:6" x14ac:dyDescent="0.25">
      <c r="B743" s="345"/>
      <c r="C743" s="345"/>
      <c r="D743" s="345"/>
      <c r="E743" s="345"/>
      <c r="F743" s="345"/>
    </row>
    <row r="744" spans="2:6" x14ac:dyDescent="0.25">
      <c r="B744" s="345"/>
      <c r="C744" s="345"/>
      <c r="D744" s="345"/>
      <c r="E744" s="345"/>
      <c r="F744" s="345"/>
    </row>
    <row r="745" spans="2:6" x14ac:dyDescent="0.25">
      <c r="B745" s="345"/>
      <c r="C745" s="345"/>
      <c r="D745" s="345"/>
      <c r="E745" s="345"/>
      <c r="F745" s="345"/>
    </row>
    <row r="746" spans="2:6" x14ac:dyDescent="0.25">
      <c r="B746" s="345"/>
      <c r="C746" s="345"/>
      <c r="D746" s="345"/>
      <c r="E746" s="345"/>
      <c r="F746" s="345"/>
    </row>
    <row r="747" spans="2:6" x14ac:dyDescent="0.25">
      <c r="B747" s="345"/>
      <c r="C747" s="345"/>
      <c r="D747" s="345"/>
      <c r="E747" s="345"/>
      <c r="F747" s="345"/>
    </row>
    <row r="748" spans="2:6" x14ac:dyDescent="0.25">
      <c r="B748" s="345"/>
      <c r="C748" s="345"/>
      <c r="D748" s="345"/>
      <c r="E748" s="345"/>
      <c r="F748" s="345"/>
    </row>
    <row r="749" spans="2:6" x14ac:dyDescent="0.25">
      <c r="B749" s="345"/>
      <c r="C749" s="345"/>
      <c r="D749" s="345"/>
      <c r="E749" s="345"/>
      <c r="F749" s="345"/>
    </row>
    <row r="750" spans="2:6" x14ac:dyDescent="0.25">
      <c r="B750" s="345"/>
      <c r="C750" s="345"/>
      <c r="D750" s="345"/>
      <c r="E750" s="345"/>
      <c r="F750" s="345"/>
    </row>
    <row r="751" spans="2:6" x14ac:dyDescent="0.25">
      <c r="B751" s="345"/>
      <c r="C751" s="345"/>
      <c r="D751" s="345"/>
      <c r="E751" s="345"/>
      <c r="F751" s="345"/>
    </row>
    <row r="752" spans="2:6" x14ac:dyDescent="0.25">
      <c r="B752" s="345"/>
      <c r="C752" s="345"/>
      <c r="D752" s="345"/>
      <c r="E752" s="345"/>
      <c r="F752" s="345"/>
    </row>
    <row r="753" spans="2:6" x14ac:dyDescent="0.25">
      <c r="B753" s="345"/>
      <c r="C753" s="345"/>
      <c r="D753" s="345"/>
      <c r="E753" s="345"/>
      <c r="F753" s="345"/>
    </row>
    <row r="754" spans="2:6" x14ac:dyDescent="0.25">
      <c r="B754" s="345"/>
      <c r="C754" s="345"/>
      <c r="D754" s="345"/>
      <c r="E754" s="345"/>
      <c r="F754" s="345"/>
    </row>
    <row r="755" spans="2:6" x14ac:dyDescent="0.25">
      <c r="B755" s="345"/>
      <c r="C755" s="345"/>
      <c r="D755" s="345"/>
      <c r="E755" s="345"/>
      <c r="F755" s="345"/>
    </row>
    <row r="756" spans="2:6" x14ac:dyDescent="0.25">
      <c r="B756" s="345"/>
      <c r="C756" s="345"/>
      <c r="D756" s="345"/>
      <c r="E756" s="345"/>
      <c r="F756" s="345"/>
    </row>
    <row r="757" spans="2:6" x14ac:dyDescent="0.25">
      <c r="B757" s="345"/>
      <c r="C757" s="345"/>
      <c r="D757" s="345"/>
      <c r="E757" s="345"/>
      <c r="F757" s="345"/>
    </row>
    <row r="758" spans="2:6" x14ac:dyDescent="0.25">
      <c r="B758" s="345"/>
      <c r="C758" s="345"/>
      <c r="D758" s="345"/>
      <c r="E758" s="345"/>
      <c r="F758" s="345"/>
    </row>
    <row r="759" spans="2:6" x14ac:dyDescent="0.25">
      <c r="B759" s="345"/>
      <c r="C759" s="345"/>
      <c r="D759" s="345"/>
      <c r="E759" s="345"/>
      <c r="F759" s="345"/>
    </row>
    <row r="760" spans="2:6" x14ac:dyDescent="0.25">
      <c r="B760" s="345"/>
      <c r="C760" s="345"/>
      <c r="D760" s="345"/>
      <c r="E760" s="345"/>
      <c r="F760" s="345"/>
    </row>
    <row r="761" spans="2:6" x14ac:dyDescent="0.25">
      <c r="B761" s="345"/>
      <c r="C761" s="345"/>
      <c r="D761" s="345"/>
      <c r="E761" s="345"/>
      <c r="F761" s="345"/>
    </row>
    <row r="762" spans="2:6" x14ac:dyDescent="0.25">
      <c r="B762" s="345"/>
      <c r="C762" s="345"/>
      <c r="D762" s="345"/>
      <c r="E762" s="345"/>
      <c r="F762" s="345"/>
    </row>
  </sheetData>
  <sheetProtection algorithmName="SHA-512" hashValue="nv+jt6L+K4tlrQa8IzbR7eojs52QedULNY9/+Oa87f0vvGQiWe/Yl0ztDOuAoL72ri/bBEZ6igqYW3WSyA/QhQ==" saltValue="nnfENHZbn/Qsezf6G6Xgyw==" spinCount="100000" sheet="1" objects="1" scenarios="1" selectLockedCells="1"/>
  <mergeCells count="67">
    <mergeCell ref="D126:F126"/>
    <mergeCell ref="D111:F111"/>
    <mergeCell ref="D112:F112"/>
    <mergeCell ref="G111:G112"/>
    <mergeCell ref="D114:F114"/>
    <mergeCell ref="G113:G114"/>
    <mergeCell ref="D115:F115"/>
    <mergeCell ref="D113:F113"/>
    <mergeCell ref="D125:F125"/>
    <mergeCell ref="D124:F124"/>
    <mergeCell ref="D123:F123"/>
    <mergeCell ref="D122:F122"/>
    <mergeCell ref="D121:F121"/>
    <mergeCell ref="C113:C114"/>
    <mergeCell ref="C115:C116"/>
    <mergeCell ref="G107:G108"/>
    <mergeCell ref="G105:G106"/>
    <mergeCell ref="G109:G110"/>
    <mergeCell ref="C111:C112"/>
    <mergeCell ref="D101:F101"/>
    <mergeCell ref="D100:F100"/>
    <mergeCell ref="D99:F99"/>
    <mergeCell ref="C99:C100"/>
    <mergeCell ref="C103:C104"/>
    <mergeCell ref="C97:C98"/>
    <mergeCell ref="G97:G98"/>
    <mergeCell ref="G99:G100"/>
    <mergeCell ref="G103:G104"/>
    <mergeCell ref="G101:G102"/>
    <mergeCell ref="C125:C126"/>
    <mergeCell ref="C123:C124"/>
    <mergeCell ref="C121:C122"/>
    <mergeCell ref="C119:C120"/>
    <mergeCell ref="D97:F97"/>
    <mergeCell ref="D98:F98"/>
    <mergeCell ref="C109:C110"/>
    <mergeCell ref="C107:C108"/>
    <mergeCell ref="C105:C106"/>
    <mergeCell ref="C101:C102"/>
    <mergeCell ref="D106:F106"/>
    <mergeCell ref="D104:F104"/>
    <mergeCell ref="D102:F102"/>
    <mergeCell ref="D103:F103"/>
    <mergeCell ref="C117:C118"/>
    <mergeCell ref="D110:F110"/>
    <mergeCell ref="G119:G120"/>
    <mergeCell ref="G117:G118"/>
    <mergeCell ref="G115:G116"/>
    <mergeCell ref="G125:G126"/>
    <mergeCell ref="G121:G122"/>
    <mergeCell ref="G123:G124"/>
    <mergeCell ref="B96:G96"/>
    <mergeCell ref="D135:F135"/>
    <mergeCell ref="D134:F134"/>
    <mergeCell ref="D133:F133"/>
    <mergeCell ref="D132:F132"/>
    <mergeCell ref="D105:F105"/>
    <mergeCell ref="D109:F109"/>
    <mergeCell ref="D107:F107"/>
    <mergeCell ref="D120:F120"/>
    <mergeCell ref="D119:F119"/>
    <mergeCell ref="D118:F118"/>
    <mergeCell ref="D117:F117"/>
    <mergeCell ref="D116:F116"/>
    <mergeCell ref="D108:F108"/>
    <mergeCell ref="G134:G135"/>
    <mergeCell ref="G132:G133"/>
  </mergeCells>
  <conditionalFormatting sqref="G97:G98 C97:C113 C117:C126">
    <cfRule type="containsText" dxfId="102" priority="4" operator="containsText" text="AUSGEWÄHLT">
      <formula>NOT(ISERROR(SEARCH("AUSGEWÄHLT",C97)))</formula>
    </cfRule>
  </conditionalFormatting>
  <conditionalFormatting sqref="G99:G126">
    <cfRule type="containsText" dxfId="101" priority="2" operator="containsText" text="AUSGEWÄHLT">
      <formula>NOT(ISERROR(SEARCH("AUSGEWÄHLT",G99)))</formula>
    </cfRule>
  </conditionalFormatting>
  <conditionalFormatting sqref="C115:C116">
    <cfRule type="containsText" dxfId="100" priority="1" operator="containsText" text="AUSGEWÄHLT">
      <formula>NOT(ISERROR(SEARCH("AUSGEWÄHLT",C115)))</formula>
    </cfRule>
  </conditionalFormatting>
  <pageMargins left="0.7" right="0.7" top="0.78740157499999996" bottom="0.78740157499999996"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I45"/>
  <sheetViews>
    <sheetView zoomScale="60" zoomScaleNormal="60" workbookViewId="0">
      <pane xSplit="2" ySplit="3" topLeftCell="C4" activePane="bottomRight" state="frozen"/>
      <selection activeCell="M106" sqref="M106"/>
      <selection pane="topRight" activeCell="M106" sqref="M106"/>
      <selection pane="bottomLeft" activeCell="M106" sqref="M106"/>
      <selection pane="bottomRight" activeCell="B2" sqref="B2:B3"/>
    </sheetView>
  </sheetViews>
  <sheetFormatPr baseColWidth="10" defaultRowHeight="15" x14ac:dyDescent="0.25"/>
  <cols>
    <col min="1" max="1" width="11.42578125" style="427"/>
    <col min="2" max="2" width="58.42578125" style="427" customWidth="1"/>
    <col min="3" max="6" width="11.140625" style="426" customWidth="1"/>
    <col min="7" max="7" width="13.140625" style="426" customWidth="1"/>
    <col min="8" max="9" width="11.140625" style="426" customWidth="1"/>
    <col min="10" max="10" width="13.7109375" style="426" customWidth="1"/>
    <col min="11" max="11" width="11.140625" style="426" customWidth="1"/>
    <col min="12" max="12" width="13.140625" style="426" customWidth="1"/>
    <col min="13" max="13" width="11.140625" style="426" customWidth="1"/>
    <col min="14" max="14" width="11.140625" style="426" hidden="1" customWidth="1"/>
    <col min="15" max="19" width="11.140625" style="426" customWidth="1"/>
    <col min="20" max="26" width="11.140625" style="482" customWidth="1"/>
    <col min="27" max="34" width="11.140625" style="426" customWidth="1"/>
    <col min="35" max="35" width="11.42578125" style="426"/>
  </cols>
  <sheetData>
    <row r="2" spans="1:35" ht="15.75" x14ac:dyDescent="0.25">
      <c r="B2" s="653" t="s">
        <v>261</v>
      </c>
      <c r="C2" s="428" t="s">
        <v>262</v>
      </c>
      <c r="D2" s="428" t="s">
        <v>263</v>
      </c>
      <c r="E2" s="428" t="s">
        <v>264</v>
      </c>
      <c r="F2" s="428" t="s">
        <v>265</v>
      </c>
      <c r="G2" s="429" t="s">
        <v>266</v>
      </c>
      <c r="H2" s="429" t="s">
        <v>267</v>
      </c>
      <c r="I2" s="429" t="s">
        <v>268</v>
      </c>
      <c r="J2" s="429" t="s">
        <v>269</v>
      </c>
      <c r="K2" s="429" t="s">
        <v>270</v>
      </c>
      <c r="L2" s="429" t="s">
        <v>271</v>
      </c>
      <c r="M2" s="427"/>
      <c r="N2" s="427"/>
      <c r="O2" s="427"/>
      <c r="P2" s="654" t="s">
        <v>272</v>
      </c>
      <c r="Q2" s="654"/>
      <c r="R2" s="654"/>
      <c r="S2" s="654"/>
      <c r="T2" s="430"/>
      <c r="U2" s="655" t="s">
        <v>273</v>
      </c>
      <c r="V2" s="655"/>
      <c r="W2" s="655"/>
      <c r="X2" s="655"/>
      <c r="Y2" s="655"/>
      <c r="Z2" s="431"/>
      <c r="AA2" s="654" t="s">
        <v>274</v>
      </c>
      <c r="AB2" s="654"/>
      <c r="AC2" s="654"/>
      <c r="AD2" s="654"/>
      <c r="AE2" s="654"/>
      <c r="AF2" s="650" t="s">
        <v>275</v>
      </c>
      <c r="AG2" s="650"/>
      <c r="AH2" s="650"/>
      <c r="AI2" s="427"/>
    </row>
    <row r="3" spans="1:35" ht="409.5" x14ac:dyDescent="0.25">
      <c r="B3" s="653"/>
      <c r="C3" s="432" t="s">
        <v>276</v>
      </c>
      <c r="D3" s="432" t="s">
        <v>277</v>
      </c>
      <c r="E3" s="432" t="s">
        <v>278</v>
      </c>
      <c r="F3" s="432" t="s">
        <v>279</v>
      </c>
      <c r="G3" s="432" t="s">
        <v>280</v>
      </c>
      <c r="H3" s="432" t="s">
        <v>281</v>
      </c>
      <c r="I3" s="432" t="s">
        <v>282</v>
      </c>
      <c r="J3" s="432" t="s">
        <v>283</v>
      </c>
      <c r="K3" s="432" t="s">
        <v>284</v>
      </c>
      <c r="L3" s="432" t="s">
        <v>285</v>
      </c>
      <c r="M3" s="433" t="s">
        <v>286</v>
      </c>
      <c r="N3" s="434" t="s">
        <v>287</v>
      </c>
      <c r="O3" s="433" t="s">
        <v>288</v>
      </c>
      <c r="P3" s="435" t="s">
        <v>289</v>
      </c>
      <c r="Q3" s="435" t="s">
        <v>290</v>
      </c>
      <c r="R3" s="435" t="s">
        <v>291</v>
      </c>
      <c r="S3" s="435" t="s">
        <v>292</v>
      </c>
      <c r="T3" s="436" t="s">
        <v>293</v>
      </c>
      <c r="U3" s="437" t="s">
        <v>294</v>
      </c>
      <c r="V3" s="437" t="s">
        <v>295</v>
      </c>
      <c r="W3" s="437" t="s">
        <v>296</v>
      </c>
      <c r="X3" s="437" t="s">
        <v>297</v>
      </c>
      <c r="Y3" s="437" t="s">
        <v>298</v>
      </c>
      <c r="Z3" s="435" t="s">
        <v>299</v>
      </c>
      <c r="AA3" s="438" t="s">
        <v>300</v>
      </c>
      <c r="AB3" s="438" t="s">
        <v>301</v>
      </c>
      <c r="AC3" s="438" t="s">
        <v>302</v>
      </c>
      <c r="AD3" s="438" t="s">
        <v>303</v>
      </c>
      <c r="AE3" s="438" t="s">
        <v>304</v>
      </c>
      <c r="AF3" s="439" t="s">
        <v>305</v>
      </c>
      <c r="AG3" s="439" t="s">
        <v>227</v>
      </c>
      <c r="AH3" s="439" t="s">
        <v>306</v>
      </c>
      <c r="AI3" s="427"/>
    </row>
    <row r="4" spans="1:35" ht="49.5" x14ac:dyDescent="0.25">
      <c r="A4" s="440" t="s">
        <v>262</v>
      </c>
      <c r="B4" s="441" t="s">
        <v>276</v>
      </c>
      <c r="C4" s="442"/>
      <c r="D4" s="443"/>
      <c r="E4" s="444" t="s">
        <v>307</v>
      </c>
      <c r="F4" s="444" t="s">
        <v>307</v>
      </c>
      <c r="G4" s="444" t="s">
        <v>307</v>
      </c>
      <c r="H4" s="444" t="s">
        <v>307</v>
      </c>
      <c r="I4" s="444" t="s">
        <v>307</v>
      </c>
      <c r="J4" s="444" t="s">
        <v>307</v>
      </c>
      <c r="K4" s="444" t="s">
        <v>307</v>
      </c>
      <c r="L4" s="443"/>
      <c r="M4" s="444" t="s">
        <v>307</v>
      </c>
      <c r="N4" s="445"/>
      <c r="O4" s="444" t="s">
        <v>307</v>
      </c>
      <c r="P4" s="446" t="s">
        <v>308</v>
      </c>
      <c r="Q4" s="444" t="s">
        <v>307</v>
      </c>
      <c r="R4" s="446" t="s">
        <v>308</v>
      </c>
      <c r="S4" s="444" t="s">
        <v>307</v>
      </c>
      <c r="T4" s="444" t="s">
        <v>307</v>
      </c>
      <c r="U4" s="444" t="s">
        <v>307</v>
      </c>
      <c r="V4" s="444" t="s">
        <v>307</v>
      </c>
      <c r="W4" s="444" t="s">
        <v>307</v>
      </c>
      <c r="X4" s="444" t="s">
        <v>307</v>
      </c>
      <c r="Y4" s="444" t="s">
        <v>307</v>
      </c>
      <c r="Z4" s="444" t="s">
        <v>307</v>
      </c>
      <c r="AA4" s="444" t="s">
        <v>307</v>
      </c>
      <c r="AB4" s="444" t="s">
        <v>307</v>
      </c>
      <c r="AC4" s="444" t="s">
        <v>307</v>
      </c>
      <c r="AD4" s="444" t="s">
        <v>307</v>
      </c>
      <c r="AE4" s="444" t="s">
        <v>307</v>
      </c>
      <c r="AF4" s="444" t="s">
        <v>307</v>
      </c>
      <c r="AG4" s="444" t="s">
        <v>307</v>
      </c>
      <c r="AH4" s="444" t="s">
        <v>307</v>
      </c>
    </row>
    <row r="5" spans="1:35" ht="49.5" x14ac:dyDescent="0.25">
      <c r="A5" s="440" t="s">
        <v>263</v>
      </c>
      <c r="B5" s="441" t="s">
        <v>277</v>
      </c>
      <c r="C5" s="443"/>
      <c r="D5" s="442"/>
      <c r="E5" s="444" t="s">
        <v>307</v>
      </c>
      <c r="F5" s="444" t="s">
        <v>307</v>
      </c>
      <c r="G5" s="444" t="s">
        <v>307</v>
      </c>
      <c r="H5" s="444" t="s">
        <v>307</v>
      </c>
      <c r="I5" s="444" t="s">
        <v>307</v>
      </c>
      <c r="J5" s="444" t="s">
        <v>307</v>
      </c>
      <c r="K5" s="444" t="s">
        <v>307</v>
      </c>
      <c r="L5" s="443"/>
      <c r="M5" s="444" t="s">
        <v>307</v>
      </c>
      <c r="N5" s="445"/>
      <c r="O5" s="444" t="s">
        <v>307</v>
      </c>
      <c r="P5" s="446" t="s">
        <v>308</v>
      </c>
      <c r="Q5" s="444" t="s">
        <v>307</v>
      </c>
      <c r="R5" s="446" t="s">
        <v>308</v>
      </c>
      <c r="S5" s="444" t="s">
        <v>307</v>
      </c>
      <c r="T5" s="444" t="s">
        <v>307</v>
      </c>
      <c r="U5" s="444" t="s">
        <v>307</v>
      </c>
      <c r="V5" s="444" t="s">
        <v>307</v>
      </c>
      <c r="W5" s="444" t="s">
        <v>307</v>
      </c>
      <c r="X5" s="444" t="s">
        <v>307</v>
      </c>
      <c r="Y5" s="444" t="s">
        <v>307</v>
      </c>
      <c r="Z5" s="444" t="s">
        <v>307</v>
      </c>
      <c r="AA5" s="444" t="s">
        <v>307</v>
      </c>
      <c r="AB5" s="444" t="s">
        <v>307</v>
      </c>
      <c r="AC5" s="444" t="s">
        <v>307</v>
      </c>
      <c r="AD5" s="444" t="s">
        <v>307</v>
      </c>
      <c r="AE5" s="444" t="s">
        <v>307</v>
      </c>
      <c r="AF5" s="444" t="s">
        <v>307</v>
      </c>
      <c r="AG5" s="444" t="s">
        <v>307</v>
      </c>
      <c r="AH5" s="444" t="s">
        <v>307</v>
      </c>
    </row>
    <row r="6" spans="1:35" ht="49.5" x14ac:dyDescent="0.25">
      <c r="A6" s="440" t="s">
        <v>264</v>
      </c>
      <c r="B6" s="441" t="s">
        <v>278</v>
      </c>
      <c r="C6" s="444" t="s">
        <v>307</v>
      </c>
      <c r="D6" s="444" t="s">
        <v>307</v>
      </c>
      <c r="E6" s="442"/>
      <c r="F6" s="444" t="s">
        <v>307</v>
      </c>
      <c r="G6" s="444" t="s">
        <v>307</v>
      </c>
      <c r="H6" s="444" t="s">
        <v>307</v>
      </c>
      <c r="I6" s="444" t="s">
        <v>307</v>
      </c>
      <c r="J6" s="444" t="s">
        <v>307</v>
      </c>
      <c r="K6" s="444" t="s">
        <v>307</v>
      </c>
      <c r="L6" s="443"/>
      <c r="M6" s="444" t="s">
        <v>307</v>
      </c>
      <c r="N6" s="445"/>
      <c r="O6" s="444" t="s">
        <v>307</v>
      </c>
      <c r="P6" s="444" t="s">
        <v>307</v>
      </c>
      <c r="Q6" s="444" t="s">
        <v>307</v>
      </c>
      <c r="R6" s="444" t="s">
        <v>307</v>
      </c>
      <c r="S6" s="443"/>
      <c r="T6" s="444" t="s">
        <v>307</v>
      </c>
      <c r="U6" s="444" t="s">
        <v>307</v>
      </c>
      <c r="V6" s="444" t="s">
        <v>307</v>
      </c>
      <c r="W6" s="444" t="s">
        <v>307</v>
      </c>
      <c r="X6" s="444" t="s">
        <v>307</v>
      </c>
      <c r="Y6" s="444" t="s">
        <v>307</v>
      </c>
      <c r="Z6" s="444" t="s">
        <v>307</v>
      </c>
      <c r="AA6" s="444" t="s">
        <v>307</v>
      </c>
      <c r="AB6" s="444" t="s">
        <v>307</v>
      </c>
      <c r="AC6" s="444" t="s">
        <v>307</v>
      </c>
      <c r="AD6" s="444" t="s">
        <v>307</v>
      </c>
      <c r="AE6" s="444" t="s">
        <v>307</v>
      </c>
      <c r="AF6" s="444" t="s">
        <v>307</v>
      </c>
      <c r="AG6" s="444" t="s">
        <v>307</v>
      </c>
      <c r="AH6" s="444" t="s">
        <v>307</v>
      </c>
    </row>
    <row r="7" spans="1:35" ht="49.5" x14ac:dyDescent="0.25">
      <c r="A7" s="440" t="s">
        <v>265</v>
      </c>
      <c r="B7" s="441" t="s">
        <v>279</v>
      </c>
      <c r="C7" s="444" t="s">
        <v>307</v>
      </c>
      <c r="D7" s="444" t="s">
        <v>307</v>
      </c>
      <c r="E7" s="444" t="s">
        <v>307</v>
      </c>
      <c r="F7" s="447" t="s">
        <v>307</v>
      </c>
      <c r="G7" s="444" t="s">
        <v>307</v>
      </c>
      <c r="H7" s="443" t="s">
        <v>309</v>
      </c>
      <c r="I7" s="444"/>
      <c r="J7" s="444"/>
      <c r="K7" s="444" t="s">
        <v>307</v>
      </c>
      <c r="L7" s="443"/>
      <c r="M7" s="444"/>
      <c r="N7" s="445"/>
      <c r="O7" s="444" t="s">
        <v>307</v>
      </c>
      <c r="P7" s="444" t="s">
        <v>307</v>
      </c>
      <c r="Q7" s="446" t="s">
        <v>308</v>
      </c>
      <c r="R7" s="444" t="s">
        <v>307</v>
      </c>
      <c r="S7" s="444" t="s">
        <v>307</v>
      </c>
      <c r="T7" s="444" t="s">
        <v>307</v>
      </c>
      <c r="U7" s="446" t="s">
        <v>308</v>
      </c>
      <c r="V7" s="446" t="s">
        <v>308</v>
      </c>
      <c r="W7" s="446" t="s">
        <v>308</v>
      </c>
      <c r="X7" s="446" t="s">
        <v>308</v>
      </c>
      <c r="Y7" s="446" t="s">
        <v>308</v>
      </c>
      <c r="Z7" s="443"/>
      <c r="AA7" s="444" t="s">
        <v>307</v>
      </c>
      <c r="AB7" s="444" t="s">
        <v>307</v>
      </c>
      <c r="AC7" s="444" t="s">
        <v>307</v>
      </c>
      <c r="AD7" s="444" t="s">
        <v>307</v>
      </c>
      <c r="AE7" s="444" t="s">
        <v>307</v>
      </c>
      <c r="AF7" s="448"/>
      <c r="AG7" s="448"/>
      <c r="AH7" s="444" t="s">
        <v>307</v>
      </c>
    </row>
    <row r="8" spans="1:35" ht="75" x14ac:dyDescent="0.25">
      <c r="A8" s="449" t="s">
        <v>266</v>
      </c>
      <c r="B8" s="441" t="s">
        <v>280</v>
      </c>
      <c r="C8" s="444" t="s">
        <v>307</v>
      </c>
      <c r="D8" s="444" t="s">
        <v>307</v>
      </c>
      <c r="E8" s="444" t="s">
        <v>307</v>
      </c>
      <c r="F8" s="444" t="s">
        <v>307</v>
      </c>
      <c r="G8" s="450"/>
      <c r="H8" s="443"/>
      <c r="I8" s="444" t="s">
        <v>307</v>
      </c>
      <c r="J8" s="444" t="s">
        <v>307</v>
      </c>
      <c r="K8" s="444"/>
      <c r="L8" s="443"/>
      <c r="M8" s="444" t="s">
        <v>307</v>
      </c>
      <c r="N8" s="651" t="s">
        <v>310</v>
      </c>
      <c r="O8" s="444" t="s">
        <v>307</v>
      </c>
      <c r="P8" s="443"/>
      <c r="Q8" s="444" t="s">
        <v>307</v>
      </c>
      <c r="R8" s="443"/>
      <c r="S8" s="444" t="s">
        <v>307</v>
      </c>
      <c r="T8" s="444" t="s">
        <v>307</v>
      </c>
      <c r="U8" s="444" t="s">
        <v>307</v>
      </c>
      <c r="V8" s="444" t="s">
        <v>307</v>
      </c>
      <c r="W8" s="444" t="s">
        <v>307</v>
      </c>
      <c r="X8" s="444" t="s">
        <v>307</v>
      </c>
      <c r="Y8" s="444" t="s">
        <v>307</v>
      </c>
      <c r="Z8" s="444" t="s">
        <v>307</v>
      </c>
      <c r="AA8" s="444" t="s">
        <v>307</v>
      </c>
      <c r="AB8" s="444" t="s">
        <v>307</v>
      </c>
      <c r="AC8" s="444" t="s">
        <v>307</v>
      </c>
      <c r="AD8" s="444" t="s">
        <v>307</v>
      </c>
      <c r="AE8" s="444" t="s">
        <v>307</v>
      </c>
      <c r="AF8" s="444" t="s">
        <v>307</v>
      </c>
      <c r="AG8" s="443"/>
      <c r="AH8" s="451"/>
    </row>
    <row r="9" spans="1:35" ht="60" x14ac:dyDescent="0.25">
      <c r="A9" s="449" t="s">
        <v>267</v>
      </c>
      <c r="B9" s="441" t="s">
        <v>311</v>
      </c>
      <c r="C9" s="444" t="s">
        <v>307</v>
      </c>
      <c r="D9" s="444" t="s">
        <v>307</v>
      </c>
      <c r="E9" s="444" t="s">
        <v>307</v>
      </c>
      <c r="F9" s="443" t="s">
        <v>309</v>
      </c>
      <c r="G9" s="443"/>
      <c r="H9" s="452"/>
      <c r="I9" s="443"/>
      <c r="J9" s="443"/>
      <c r="K9" s="444"/>
      <c r="L9" s="443"/>
      <c r="M9" s="444" t="s">
        <v>307</v>
      </c>
      <c r="N9" s="651"/>
      <c r="O9" s="444" t="s">
        <v>307</v>
      </c>
      <c r="P9" s="443"/>
      <c r="Q9" s="443"/>
      <c r="R9" s="443"/>
      <c r="S9" s="444" t="s">
        <v>307</v>
      </c>
      <c r="T9" s="444" t="s">
        <v>307</v>
      </c>
      <c r="U9" s="453" t="s">
        <v>312</v>
      </c>
      <c r="V9" s="453" t="s">
        <v>312</v>
      </c>
      <c r="W9" s="453" t="s">
        <v>312</v>
      </c>
      <c r="X9" s="453" t="s">
        <v>312</v>
      </c>
      <c r="Y9" s="453" t="s">
        <v>312</v>
      </c>
      <c r="Z9" s="444" t="s">
        <v>307</v>
      </c>
      <c r="AA9" s="444" t="s">
        <v>307</v>
      </c>
      <c r="AB9" s="444" t="s">
        <v>307</v>
      </c>
      <c r="AC9" s="444" t="s">
        <v>307</v>
      </c>
      <c r="AD9" s="444" t="s">
        <v>307</v>
      </c>
      <c r="AE9" s="444" t="s">
        <v>307</v>
      </c>
      <c r="AF9" s="454"/>
      <c r="AG9" s="443"/>
      <c r="AH9" s="444" t="s">
        <v>307</v>
      </c>
    </row>
    <row r="10" spans="1:35" ht="46.5" x14ac:dyDescent="0.25">
      <c r="A10" s="449" t="s">
        <v>268</v>
      </c>
      <c r="B10" s="441" t="s">
        <v>282</v>
      </c>
      <c r="C10" s="444" t="s">
        <v>307</v>
      </c>
      <c r="D10" s="444" t="s">
        <v>307</v>
      </c>
      <c r="E10" s="444" t="s">
        <v>307</v>
      </c>
      <c r="F10" s="443"/>
      <c r="G10" s="444" t="s">
        <v>307</v>
      </c>
      <c r="H10" s="443"/>
      <c r="I10" s="452"/>
      <c r="J10" s="443"/>
      <c r="K10" s="444" t="s">
        <v>307</v>
      </c>
      <c r="L10" s="443"/>
      <c r="M10" s="444"/>
      <c r="N10" s="651"/>
      <c r="O10" s="444" t="s">
        <v>307</v>
      </c>
      <c r="P10" s="444" t="s">
        <v>307</v>
      </c>
      <c r="Q10" s="455" t="s">
        <v>313</v>
      </c>
      <c r="R10" s="444" t="s">
        <v>307</v>
      </c>
      <c r="S10" s="444" t="s">
        <v>307</v>
      </c>
      <c r="T10" s="444" t="s">
        <v>307</v>
      </c>
      <c r="U10" s="456"/>
      <c r="V10" s="456"/>
      <c r="W10" s="456"/>
      <c r="X10" s="456"/>
      <c r="Y10" s="456"/>
      <c r="Z10" s="443"/>
      <c r="AA10" s="457"/>
      <c r="AB10" s="457"/>
      <c r="AC10" s="457"/>
      <c r="AD10" s="457"/>
      <c r="AE10" s="457"/>
      <c r="AF10" s="455" t="s">
        <v>313</v>
      </c>
      <c r="AG10" s="454"/>
      <c r="AH10" s="444" t="s">
        <v>307</v>
      </c>
    </row>
    <row r="11" spans="1:35" ht="46.5" x14ac:dyDescent="0.25">
      <c r="A11" s="449" t="s">
        <v>269</v>
      </c>
      <c r="B11" s="441" t="s">
        <v>314</v>
      </c>
      <c r="C11" s="444" t="s">
        <v>307</v>
      </c>
      <c r="D11" s="444" t="s">
        <v>307</v>
      </c>
      <c r="E11" s="444" t="s">
        <v>307</v>
      </c>
      <c r="F11" s="443"/>
      <c r="G11" s="444" t="s">
        <v>307</v>
      </c>
      <c r="H11" s="443"/>
      <c r="I11" s="444"/>
      <c r="J11" s="447"/>
      <c r="K11" s="444" t="s">
        <v>307</v>
      </c>
      <c r="L11" s="443"/>
      <c r="M11" s="444"/>
      <c r="N11" s="651"/>
      <c r="O11" s="444" t="s">
        <v>307</v>
      </c>
      <c r="P11" s="444" t="s">
        <v>307</v>
      </c>
      <c r="Q11" s="451"/>
      <c r="R11" s="444" t="s">
        <v>307</v>
      </c>
      <c r="S11" s="444" t="s">
        <v>307</v>
      </c>
      <c r="T11" s="444" t="s">
        <v>307</v>
      </c>
      <c r="U11" s="443"/>
      <c r="V11" s="443"/>
      <c r="W11" s="443"/>
      <c r="X11" s="443"/>
      <c r="Y11" s="443"/>
      <c r="Z11" s="443"/>
      <c r="AA11" s="443"/>
      <c r="AB11" s="443"/>
      <c r="AC11" s="443"/>
      <c r="AD11" s="443"/>
      <c r="AE11" s="443"/>
      <c r="AF11" s="443"/>
      <c r="AG11" s="454"/>
      <c r="AH11" s="444" t="s">
        <v>307</v>
      </c>
    </row>
    <row r="12" spans="1:35" ht="60" x14ac:dyDescent="0.25">
      <c r="A12" s="449" t="s">
        <v>270</v>
      </c>
      <c r="B12" s="441" t="s">
        <v>284</v>
      </c>
      <c r="C12" s="444" t="s">
        <v>307</v>
      </c>
      <c r="D12" s="444" t="s">
        <v>307</v>
      </c>
      <c r="E12" s="444" t="s">
        <v>307</v>
      </c>
      <c r="F12" s="444" t="s">
        <v>307</v>
      </c>
      <c r="G12" s="443"/>
      <c r="H12" s="443"/>
      <c r="I12" s="444" t="s">
        <v>307</v>
      </c>
      <c r="J12" s="444" t="s">
        <v>307</v>
      </c>
      <c r="K12" s="447"/>
      <c r="L12" s="443"/>
      <c r="M12" s="444" t="s">
        <v>307</v>
      </c>
      <c r="N12" s="651"/>
      <c r="O12" s="444" t="s">
        <v>307</v>
      </c>
      <c r="P12" s="455" t="s">
        <v>313</v>
      </c>
      <c r="Q12" s="444" t="s">
        <v>307</v>
      </c>
      <c r="R12" s="455" t="s">
        <v>313</v>
      </c>
      <c r="S12" s="455" t="s">
        <v>313</v>
      </c>
      <c r="T12" s="444" t="s">
        <v>307</v>
      </c>
      <c r="U12" s="444" t="s">
        <v>307</v>
      </c>
      <c r="V12" s="444" t="s">
        <v>307</v>
      </c>
      <c r="W12" s="444" t="s">
        <v>307</v>
      </c>
      <c r="X12" s="444" t="s">
        <v>307</v>
      </c>
      <c r="Y12" s="444" t="s">
        <v>307</v>
      </c>
      <c r="Z12" s="444" t="s">
        <v>307</v>
      </c>
      <c r="AA12" s="444" t="s">
        <v>307</v>
      </c>
      <c r="AB12" s="444" t="s">
        <v>307</v>
      </c>
      <c r="AC12" s="444" t="s">
        <v>307</v>
      </c>
      <c r="AD12" s="444" t="s">
        <v>307</v>
      </c>
      <c r="AE12" s="444" t="s">
        <v>307</v>
      </c>
      <c r="AF12" s="444" t="s">
        <v>307</v>
      </c>
      <c r="AG12" s="454"/>
      <c r="AH12" s="444" t="s">
        <v>307</v>
      </c>
    </row>
    <row r="13" spans="1:35" ht="75" x14ac:dyDescent="0.25">
      <c r="A13" s="449" t="s">
        <v>271</v>
      </c>
      <c r="B13" s="441" t="s">
        <v>315</v>
      </c>
      <c r="C13" s="443"/>
      <c r="D13" s="443"/>
      <c r="E13" s="443"/>
      <c r="F13" s="443"/>
      <c r="G13" s="443"/>
      <c r="H13" s="443"/>
      <c r="I13" s="443"/>
      <c r="J13" s="443"/>
      <c r="K13" s="443"/>
      <c r="L13" s="447"/>
      <c r="M13" s="443"/>
      <c r="N13" s="445"/>
      <c r="O13" s="443"/>
      <c r="P13" s="443"/>
      <c r="Q13" s="443"/>
      <c r="R13" s="443"/>
      <c r="S13" s="443"/>
      <c r="T13" s="443"/>
      <c r="U13" s="444" t="s">
        <v>307</v>
      </c>
      <c r="V13" s="444" t="s">
        <v>307</v>
      </c>
      <c r="W13" s="444" t="s">
        <v>307</v>
      </c>
      <c r="X13" s="444" t="s">
        <v>307</v>
      </c>
      <c r="Y13" s="444" t="s">
        <v>307</v>
      </c>
      <c r="Z13" s="443"/>
      <c r="AA13" s="443"/>
      <c r="AB13" s="443"/>
      <c r="AC13" s="443"/>
      <c r="AD13" s="443"/>
      <c r="AE13" s="443"/>
      <c r="AF13" s="443"/>
      <c r="AG13" s="454"/>
      <c r="AH13" s="451"/>
    </row>
    <row r="14" spans="1:35" ht="23.25" x14ac:dyDescent="0.25">
      <c r="B14" s="458" t="s">
        <v>286</v>
      </c>
      <c r="C14" s="444"/>
      <c r="D14" s="444" t="s">
        <v>307</v>
      </c>
      <c r="E14" s="444" t="s">
        <v>307</v>
      </c>
      <c r="F14" s="444"/>
      <c r="G14" s="444" t="s">
        <v>307</v>
      </c>
      <c r="H14" s="444" t="s">
        <v>307</v>
      </c>
      <c r="I14" s="444"/>
      <c r="J14" s="444"/>
      <c r="K14" s="444" t="s">
        <v>307</v>
      </c>
      <c r="L14" s="443"/>
      <c r="M14" s="447"/>
      <c r="N14" s="445"/>
      <c r="O14" s="443"/>
      <c r="P14" s="459"/>
      <c r="Q14" s="459"/>
      <c r="R14" s="459"/>
      <c r="S14" s="459"/>
      <c r="T14" s="459"/>
      <c r="U14" s="460" t="s">
        <v>316</v>
      </c>
      <c r="V14" s="460" t="s">
        <v>316</v>
      </c>
      <c r="W14" s="460" t="s">
        <v>316</v>
      </c>
      <c r="X14" s="460" t="s">
        <v>316</v>
      </c>
      <c r="Y14" s="460" t="s">
        <v>316</v>
      </c>
      <c r="Z14" s="459"/>
      <c r="AA14" s="443"/>
      <c r="AB14" s="443"/>
      <c r="AC14" s="443"/>
      <c r="AD14" s="443"/>
      <c r="AE14" s="443"/>
      <c r="AF14" s="459"/>
      <c r="AG14" s="459"/>
      <c r="AH14" s="461"/>
    </row>
    <row r="15" spans="1:35" ht="23.25" hidden="1" x14ac:dyDescent="0.25">
      <c r="B15" s="462" t="s">
        <v>287</v>
      </c>
      <c r="C15" s="651" t="s">
        <v>310</v>
      </c>
      <c r="D15" s="651"/>
      <c r="E15" s="651"/>
      <c r="F15" s="651"/>
      <c r="G15" s="651"/>
      <c r="H15" s="651"/>
      <c r="I15" s="445"/>
      <c r="J15" s="445"/>
      <c r="K15" s="445"/>
      <c r="L15" s="445"/>
      <c r="M15" s="445"/>
      <c r="N15" s="445"/>
      <c r="O15" s="447"/>
      <c r="P15" s="459"/>
      <c r="Q15" s="459"/>
      <c r="R15" s="459"/>
      <c r="S15" s="459"/>
      <c r="T15" s="459"/>
      <c r="U15" s="444" t="s">
        <v>307</v>
      </c>
      <c r="V15" s="444" t="s">
        <v>307</v>
      </c>
      <c r="W15" s="444" t="s">
        <v>307</v>
      </c>
      <c r="X15" s="444" t="s">
        <v>307</v>
      </c>
      <c r="Y15" s="444" t="s">
        <v>307</v>
      </c>
      <c r="Z15" s="459"/>
      <c r="AA15" s="444" t="s">
        <v>307</v>
      </c>
      <c r="AB15" s="444" t="s">
        <v>307</v>
      </c>
      <c r="AC15" s="444" t="s">
        <v>307</v>
      </c>
      <c r="AD15" s="444" t="s">
        <v>307</v>
      </c>
      <c r="AE15" s="444" t="s">
        <v>307</v>
      </c>
      <c r="AF15" s="459"/>
      <c r="AG15" s="459"/>
      <c r="AH15" s="461"/>
    </row>
    <row r="16" spans="1:35" ht="23.25" x14ac:dyDescent="0.25">
      <c r="B16" s="463" t="s">
        <v>288</v>
      </c>
      <c r="C16" s="444" t="s">
        <v>307</v>
      </c>
      <c r="D16" s="444" t="s">
        <v>307</v>
      </c>
      <c r="E16" s="444" t="s">
        <v>307</v>
      </c>
      <c r="F16" s="444" t="s">
        <v>307</v>
      </c>
      <c r="G16" s="444" t="s">
        <v>307</v>
      </c>
      <c r="H16" s="444" t="s">
        <v>307</v>
      </c>
      <c r="I16" s="444" t="s">
        <v>307</v>
      </c>
      <c r="J16" s="444" t="s">
        <v>307</v>
      </c>
      <c r="K16" s="444" t="s">
        <v>307</v>
      </c>
      <c r="L16" s="443"/>
      <c r="M16" s="443"/>
      <c r="N16" s="445"/>
      <c r="O16" s="447"/>
      <c r="P16" s="464"/>
      <c r="Q16" s="464"/>
      <c r="R16" s="464"/>
      <c r="S16" s="464"/>
      <c r="T16" s="464"/>
      <c r="U16" s="444" t="s">
        <v>307</v>
      </c>
      <c r="V16" s="444" t="s">
        <v>307</v>
      </c>
      <c r="W16" s="444" t="s">
        <v>307</v>
      </c>
      <c r="X16" s="444" t="s">
        <v>307</v>
      </c>
      <c r="Y16" s="444" t="s">
        <v>307</v>
      </c>
      <c r="Z16" s="459"/>
      <c r="AA16" s="444" t="s">
        <v>307</v>
      </c>
      <c r="AB16" s="444" t="s">
        <v>307</v>
      </c>
      <c r="AC16" s="444" t="s">
        <v>307</v>
      </c>
      <c r="AD16" s="444" t="s">
        <v>307</v>
      </c>
      <c r="AE16" s="444" t="s">
        <v>307</v>
      </c>
      <c r="AF16" s="459"/>
      <c r="AG16" s="459"/>
      <c r="AH16" s="465" t="s">
        <v>307</v>
      </c>
      <c r="AI16" s="466"/>
    </row>
    <row r="17" spans="1:34" ht="45" x14ac:dyDescent="0.25">
      <c r="A17" s="641" t="s">
        <v>272</v>
      </c>
      <c r="B17" s="467" t="s">
        <v>317</v>
      </c>
      <c r="C17" s="446" t="s">
        <v>308</v>
      </c>
      <c r="D17" s="446" t="s">
        <v>308</v>
      </c>
      <c r="E17" s="444" t="s">
        <v>307</v>
      </c>
      <c r="F17" s="444" t="s">
        <v>307</v>
      </c>
      <c r="G17" s="443"/>
      <c r="H17" s="443"/>
      <c r="I17" s="444" t="s">
        <v>307</v>
      </c>
      <c r="J17" s="444" t="s">
        <v>307</v>
      </c>
      <c r="K17" s="455" t="s">
        <v>313</v>
      </c>
      <c r="L17" s="443"/>
      <c r="M17" s="468"/>
      <c r="N17" s="468"/>
      <c r="O17" s="469"/>
      <c r="P17" s="447" t="s">
        <v>318</v>
      </c>
      <c r="Q17" s="444" t="s">
        <v>307</v>
      </c>
      <c r="R17" s="444" t="s">
        <v>307</v>
      </c>
      <c r="S17" s="444" t="s">
        <v>307</v>
      </c>
      <c r="T17" s="470" t="s">
        <v>319</v>
      </c>
      <c r="U17" s="444" t="s">
        <v>307</v>
      </c>
      <c r="V17" s="444" t="s">
        <v>307</v>
      </c>
      <c r="W17" s="444" t="s">
        <v>307</v>
      </c>
      <c r="X17" s="444" t="s">
        <v>307</v>
      </c>
      <c r="Y17" s="444" t="s">
        <v>307</v>
      </c>
      <c r="Z17" s="444" t="s">
        <v>307</v>
      </c>
      <c r="AA17" s="444" t="s">
        <v>307</v>
      </c>
      <c r="AB17" s="444" t="s">
        <v>307</v>
      </c>
      <c r="AC17" s="444" t="s">
        <v>307</v>
      </c>
      <c r="AD17" s="444" t="s">
        <v>307</v>
      </c>
      <c r="AE17" s="444" t="s">
        <v>307</v>
      </c>
      <c r="AF17" s="444" t="s">
        <v>307</v>
      </c>
      <c r="AG17" s="443"/>
      <c r="AH17" s="471" t="s">
        <v>320</v>
      </c>
    </row>
    <row r="18" spans="1:34" ht="45" x14ac:dyDescent="0.25">
      <c r="A18" s="641"/>
      <c r="B18" s="467" t="s">
        <v>321</v>
      </c>
      <c r="C18" s="444" t="s">
        <v>307</v>
      </c>
      <c r="D18" s="444" t="s">
        <v>307</v>
      </c>
      <c r="E18" s="444" t="s">
        <v>307</v>
      </c>
      <c r="F18" s="446" t="s">
        <v>308</v>
      </c>
      <c r="G18" s="444" t="s">
        <v>307</v>
      </c>
      <c r="H18" s="443"/>
      <c r="I18" s="455" t="s">
        <v>313</v>
      </c>
      <c r="J18" s="443"/>
      <c r="K18" s="444" t="s">
        <v>307</v>
      </c>
      <c r="L18" s="443"/>
      <c r="M18" s="468"/>
      <c r="N18" s="468"/>
      <c r="O18" s="469"/>
      <c r="P18" s="444" t="s">
        <v>307</v>
      </c>
      <c r="Q18" s="447" t="s">
        <v>318</v>
      </c>
      <c r="R18" s="444" t="s">
        <v>307</v>
      </c>
      <c r="S18" s="444" t="s">
        <v>307</v>
      </c>
      <c r="T18" s="444" t="s">
        <v>307</v>
      </c>
      <c r="U18" s="472" t="s">
        <v>322</v>
      </c>
      <c r="V18" s="472" t="s">
        <v>322</v>
      </c>
      <c r="W18" s="472" t="s">
        <v>322</v>
      </c>
      <c r="X18" s="472" t="s">
        <v>322</v>
      </c>
      <c r="Y18" s="470" t="s">
        <v>319</v>
      </c>
      <c r="Z18" s="443"/>
      <c r="AA18" s="444" t="s">
        <v>307</v>
      </c>
      <c r="AB18" s="444" t="s">
        <v>307</v>
      </c>
      <c r="AC18" s="444" t="s">
        <v>307</v>
      </c>
      <c r="AD18" s="444" t="s">
        <v>307</v>
      </c>
      <c r="AE18" s="444" t="s">
        <v>307</v>
      </c>
      <c r="AF18" s="444" t="s">
        <v>307</v>
      </c>
      <c r="AG18" s="443"/>
      <c r="AH18" s="444" t="s">
        <v>307</v>
      </c>
    </row>
    <row r="19" spans="1:34" ht="45" x14ac:dyDescent="0.25">
      <c r="A19" s="641"/>
      <c r="B19" s="467" t="s">
        <v>323</v>
      </c>
      <c r="C19" s="446" t="s">
        <v>308</v>
      </c>
      <c r="D19" s="446" t="s">
        <v>308</v>
      </c>
      <c r="E19" s="444" t="s">
        <v>307</v>
      </c>
      <c r="F19" s="444" t="s">
        <v>307</v>
      </c>
      <c r="G19" s="443"/>
      <c r="H19" s="443"/>
      <c r="I19" s="444" t="s">
        <v>307</v>
      </c>
      <c r="J19" s="444" t="s">
        <v>307</v>
      </c>
      <c r="K19" s="455" t="s">
        <v>313</v>
      </c>
      <c r="L19" s="443"/>
      <c r="M19" s="468"/>
      <c r="N19" s="468"/>
      <c r="O19" s="469"/>
      <c r="P19" s="444" t="s">
        <v>307</v>
      </c>
      <c r="Q19" s="444" t="s">
        <v>307</v>
      </c>
      <c r="R19" s="447" t="s">
        <v>318</v>
      </c>
      <c r="S19" s="444" t="s">
        <v>307</v>
      </c>
      <c r="T19" s="470" t="s">
        <v>319</v>
      </c>
      <c r="U19" s="444" t="s">
        <v>307</v>
      </c>
      <c r="V19" s="444" t="s">
        <v>307</v>
      </c>
      <c r="W19" s="444" t="s">
        <v>307</v>
      </c>
      <c r="X19" s="444" t="s">
        <v>307</v>
      </c>
      <c r="Y19" s="444" t="s">
        <v>307</v>
      </c>
      <c r="Z19" s="444" t="s">
        <v>307</v>
      </c>
      <c r="AA19" s="444" t="s">
        <v>307</v>
      </c>
      <c r="AB19" s="444" t="s">
        <v>307</v>
      </c>
      <c r="AC19" s="444" t="s">
        <v>307</v>
      </c>
      <c r="AD19" s="444" t="s">
        <v>307</v>
      </c>
      <c r="AE19" s="444" t="s">
        <v>307</v>
      </c>
      <c r="AF19" s="444" t="s">
        <v>307</v>
      </c>
      <c r="AG19" s="443"/>
      <c r="AH19" s="471" t="s">
        <v>324</v>
      </c>
    </row>
    <row r="20" spans="1:34" ht="45" x14ac:dyDescent="0.25">
      <c r="A20" s="641"/>
      <c r="B20" s="467" t="s">
        <v>325</v>
      </c>
      <c r="C20" s="444" t="s">
        <v>307</v>
      </c>
      <c r="D20" s="444" t="s">
        <v>307</v>
      </c>
      <c r="E20" s="443"/>
      <c r="F20" s="444" t="s">
        <v>307</v>
      </c>
      <c r="G20" s="444" t="s">
        <v>307</v>
      </c>
      <c r="H20" s="444" t="s">
        <v>307</v>
      </c>
      <c r="I20" s="444" t="s">
        <v>307</v>
      </c>
      <c r="J20" s="444" t="s">
        <v>307</v>
      </c>
      <c r="K20" s="455" t="s">
        <v>313</v>
      </c>
      <c r="L20" s="443"/>
      <c r="M20" s="468"/>
      <c r="N20" s="468"/>
      <c r="O20" s="469"/>
      <c r="P20" s="444" t="s">
        <v>307</v>
      </c>
      <c r="Q20" s="444" t="s">
        <v>307</v>
      </c>
      <c r="R20" s="444" t="s">
        <v>307</v>
      </c>
      <c r="S20" s="447" t="s">
        <v>318</v>
      </c>
      <c r="T20" s="444" t="s">
        <v>307</v>
      </c>
      <c r="U20" s="444" t="s">
        <v>307</v>
      </c>
      <c r="V20" s="444" t="s">
        <v>307</v>
      </c>
      <c r="W20" s="444" t="s">
        <v>307</v>
      </c>
      <c r="X20" s="444" t="s">
        <v>307</v>
      </c>
      <c r="Y20" s="444" t="s">
        <v>307</v>
      </c>
      <c r="Z20" s="444" t="s">
        <v>307</v>
      </c>
      <c r="AA20" s="444" t="s">
        <v>307</v>
      </c>
      <c r="AB20" s="444" t="s">
        <v>307</v>
      </c>
      <c r="AC20" s="444" t="s">
        <v>307</v>
      </c>
      <c r="AD20" s="444" t="s">
        <v>307</v>
      </c>
      <c r="AE20" s="444" t="s">
        <v>307</v>
      </c>
      <c r="AF20" s="444" t="s">
        <v>307</v>
      </c>
      <c r="AG20" s="443"/>
      <c r="AH20" s="471" t="s">
        <v>324</v>
      </c>
    </row>
    <row r="21" spans="1:34" ht="23.25" x14ac:dyDescent="0.25">
      <c r="A21" s="473"/>
      <c r="B21" s="474" t="s">
        <v>293</v>
      </c>
      <c r="C21" s="444" t="s">
        <v>307</v>
      </c>
      <c r="D21" s="444" t="s">
        <v>307</v>
      </c>
      <c r="E21" s="444" t="s">
        <v>307</v>
      </c>
      <c r="F21" s="444" t="s">
        <v>307</v>
      </c>
      <c r="G21" s="444" t="s">
        <v>307</v>
      </c>
      <c r="H21" s="444" t="s">
        <v>307</v>
      </c>
      <c r="I21" s="444" t="s">
        <v>307</v>
      </c>
      <c r="J21" s="444" t="s">
        <v>307</v>
      </c>
      <c r="K21" s="444" t="s">
        <v>307</v>
      </c>
      <c r="L21" s="443"/>
      <c r="M21" s="468"/>
      <c r="N21" s="468"/>
      <c r="O21" s="469"/>
      <c r="P21" s="470" t="s">
        <v>319</v>
      </c>
      <c r="Q21" s="444" t="s">
        <v>307</v>
      </c>
      <c r="R21" s="470" t="s">
        <v>319</v>
      </c>
      <c r="S21" s="444" t="s">
        <v>307</v>
      </c>
      <c r="T21" s="447" t="s">
        <v>318</v>
      </c>
      <c r="U21" s="444" t="s">
        <v>307</v>
      </c>
      <c r="V21" s="444" t="s">
        <v>307</v>
      </c>
      <c r="W21" s="444" t="s">
        <v>307</v>
      </c>
      <c r="X21" s="444" t="s">
        <v>307</v>
      </c>
      <c r="Y21" s="444" t="s">
        <v>307</v>
      </c>
      <c r="Z21" s="444" t="s">
        <v>307</v>
      </c>
      <c r="AA21" s="444" t="s">
        <v>307</v>
      </c>
      <c r="AB21" s="444" t="s">
        <v>307</v>
      </c>
      <c r="AC21" s="444" t="s">
        <v>307</v>
      </c>
      <c r="AD21" s="444" t="s">
        <v>307</v>
      </c>
      <c r="AE21" s="444" t="s">
        <v>307</v>
      </c>
      <c r="AF21" s="444" t="s">
        <v>307</v>
      </c>
      <c r="AG21" s="444" t="s">
        <v>307</v>
      </c>
      <c r="AH21" s="444" t="s">
        <v>307</v>
      </c>
    </row>
    <row r="22" spans="1:34" ht="30" x14ac:dyDescent="0.25">
      <c r="A22" s="652" t="s">
        <v>273</v>
      </c>
      <c r="B22" s="475" t="s">
        <v>294</v>
      </c>
      <c r="C22" s="444" t="s">
        <v>307</v>
      </c>
      <c r="D22" s="444" t="s">
        <v>307</v>
      </c>
      <c r="E22" s="444" t="s">
        <v>307</v>
      </c>
      <c r="F22" s="446" t="s">
        <v>308</v>
      </c>
      <c r="G22" s="444" t="s">
        <v>307</v>
      </c>
      <c r="H22" s="476" t="s">
        <v>312</v>
      </c>
      <c r="I22" s="443"/>
      <c r="J22" s="443"/>
      <c r="K22" s="444" t="s">
        <v>307</v>
      </c>
      <c r="L22" s="444" t="s">
        <v>307</v>
      </c>
      <c r="M22" s="460" t="s">
        <v>316</v>
      </c>
      <c r="N22" s="444" t="s">
        <v>307</v>
      </c>
      <c r="O22" s="444" t="s">
        <v>307</v>
      </c>
      <c r="P22" s="444" t="s">
        <v>307</v>
      </c>
      <c r="Q22" s="472" t="s">
        <v>322</v>
      </c>
      <c r="R22" s="444" t="s">
        <v>307</v>
      </c>
      <c r="S22" s="444" t="s">
        <v>307</v>
      </c>
      <c r="T22" s="444" t="s">
        <v>307</v>
      </c>
      <c r="U22" s="447" t="s">
        <v>318</v>
      </c>
      <c r="V22" s="444" t="s">
        <v>307</v>
      </c>
      <c r="W22" s="444" t="s">
        <v>307</v>
      </c>
      <c r="X22" s="444" t="s">
        <v>307</v>
      </c>
      <c r="Y22" s="444" t="s">
        <v>307</v>
      </c>
      <c r="Z22" s="443"/>
      <c r="AA22" s="444" t="s">
        <v>307</v>
      </c>
      <c r="AB22" s="444" t="s">
        <v>307</v>
      </c>
      <c r="AC22" s="444" t="s">
        <v>307</v>
      </c>
      <c r="AD22" s="444" t="s">
        <v>307</v>
      </c>
      <c r="AE22" s="444" t="s">
        <v>307</v>
      </c>
      <c r="AF22" s="444" t="s">
        <v>307</v>
      </c>
      <c r="AG22" s="443"/>
      <c r="AH22" s="444" t="s">
        <v>307</v>
      </c>
    </row>
    <row r="23" spans="1:34" ht="30" x14ac:dyDescent="0.25">
      <c r="A23" s="652"/>
      <c r="B23" s="475" t="s">
        <v>326</v>
      </c>
      <c r="C23" s="444" t="s">
        <v>307</v>
      </c>
      <c r="D23" s="444" t="s">
        <v>307</v>
      </c>
      <c r="E23" s="444" t="s">
        <v>307</v>
      </c>
      <c r="F23" s="446" t="s">
        <v>308</v>
      </c>
      <c r="G23" s="444" t="s">
        <v>307</v>
      </c>
      <c r="H23" s="476" t="s">
        <v>312</v>
      </c>
      <c r="I23" s="443"/>
      <c r="J23" s="443"/>
      <c r="K23" s="444" t="s">
        <v>307</v>
      </c>
      <c r="L23" s="444" t="s">
        <v>307</v>
      </c>
      <c r="M23" s="460" t="s">
        <v>316</v>
      </c>
      <c r="N23" s="444" t="s">
        <v>307</v>
      </c>
      <c r="O23" s="444" t="s">
        <v>307</v>
      </c>
      <c r="P23" s="444" t="s">
        <v>307</v>
      </c>
      <c r="Q23" s="472" t="s">
        <v>322</v>
      </c>
      <c r="R23" s="444" t="s">
        <v>307</v>
      </c>
      <c r="S23" s="444" t="s">
        <v>307</v>
      </c>
      <c r="T23" s="444" t="s">
        <v>307</v>
      </c>
      <c r="U23" s="444" t="s">
        <v>307</v>
      </c>
      <c r="V23" s="447" t="s">
        <v>318</v>
      </c>
      <c r="W23" s="444" t="s">
        <v>307</v>
      </c>
      <c r="X23" s="444" t="s">
        <v>307</v>
      </c>
      <c r="Y23" s="444" t="s">
        <v>307</v>
      </c>
      <c r="Z23" s="443"/>
      <c r="AA23" s="444" t="s">
        <v>307</v>
      </c>
      <c r="AB23" s="444" t="s">
        <v>307</v>
      </c>
      <c r="AC23" s="444" t="s">
        <v>307</v>
      </c>
      <c r="AD23" s="444" t="s">
        <v>307</v>
      </c>
      <c r="AE23" s="444" t="s">
        <v>307</v>
      </c>
      <c r="AF23" s="444" t="s">
        <v>307</v>
      </c>
      <c r="AG23" s="443"/>
      <c r="AH23" s="444" t="s">
        <v>307</v>
      </c>
    </row>
    <row r="24" spans="1:34" ht="23.25" x14ac:dyDescent="0.25">
      <c r="A24" s="652"/>
      <c r="B24" s="475" t="s">
        <v>296</v>
      </c>
      <c r="C24" s="444" t="s">
        <v>307</v>
      </c>
      <c r="D24" s="444" t="s">
        <v>307</v>
      </c>
      <c r="E24" s="444" t="s">
        <v>307</v>
      </c>
      <c r="F24" s="446" t="s">
        <v>308</v>
      </c>
      <c r="G24" s="444" t="s">
        <v>307</v>
      </c>
      <c r="H24" s="476" t="s">
        <v>312</v>
      </c>
      <c r="I24" s="443"/>
      <c r="J24" s="443"/>
      <c r="K24" s="444" t="s">
        <v>307</v>
      </c>
      <c r="L24" s="444" t="s">
        <v>307</v>
      </c>
      <c r="M24" s="460" t="s">
        <v>316</v>
      </c>
      <c r="N24" s="444" t="s">
        <v>307</v>
      </c>
      <c r="O24" s="444" t="s">
        <v>307</v>
      </c>
      <c r="P24" s="444" t="s">
        <v>307</v>
      </c>
      <c r="Q24" s="472" t="s">
        <v>322</v>
      </c>
      <c r="R24" s="444" t="s">
        <v>307</v>
      </c>
      <c r="S24" s="444" t="s">
        <v>307</v>
      </c>
      <c r="T24" s="444" t="s">
        <v>307</v>
      </c>
      <c r="U24" s="444" t="s">
        <v>307</v>
      </c>
      <c r="V24" s="444" t="s">
        <v>307</v>
      </c>
      <c r="W24" s="447" t="s">
        <v>318</v>
      </c>
      <c r="X24" s="444" t="s">
        <v>307</v>
      </c>
      <c r="Y24" s="444" t="s">
        <v>307</v>
      </c>
      <c r="Z24" s="443"/>
      <c r="AA24" s="444" t="s">
        <v>307</v>
      </c>
      <c r="AB24" s="444" t="s">
        <v>307</v>
      </c>
      <c r="AC24" s="444" t="s">
        <v>307</v>
      </c>
      <c r="AD24" s="444" t="s">
        <v>307</v>
      </c>
      <c r="AE24" s="444" t="s">
        <v>307</v>
      </c>
      <c r="AF24" s="444" t="s">
        <v>307</v>
      </c>
      <c r="AG24" s="443"/>
      <c r="AH24" s="444" t="s">
        <v>307</v>
      </c>
    </row>
    <row r="25" spans="1:34" ht="30" x14ac:dyDescent="0.25">
      <c r="A25" s="652"/>
      <c r="B25" s="475" t="s">
        <v>297</v>
      </c>
      <c r="C25" s="444" t="s">
        <v>307</v>
      </c>
      <c r="D25" s="444" t="s">
        <v>307</v>
      </c>
      <c r="E25" s="444" t="s">
        <v>307</v>
      </c>
      <c r="F25" s="446" t="s">
        <v>308</v>
      </c>
      <c r="G25" s="444" t="s">
        <v>307</v>
      </c>
      <c r="H25" s="476" t="s">
        <v>312</v>
      </c>
      <c r="I25" s="443"/>
      <c r="J25" s="443"/>
      <c r="K25" s="444" t="s">
        <v>307</v>
      </c>
      <c r="L25" s="444" t="s">
        <v>307</v>
      </c>
      <c r="M25" s="460" t="s">
        <v>316</v>
      </c>
      <c r="N25" s="444" t="s">
        <v>307</v>
      </c>
      <c r="O25" s="444" t="s">
        <v>307</v>
      </c>
      <c r="P25" s="444" t="s">
        <v>307</v>
      </c>
      <c r="Q25" s="472" t="s">
        <v>322</v>
      </c>
      <c r="R25" s="444" t="s">
        <v>307</v>
      </c>
      <c r="S25" s="444" t="s">
        <v>307</v>
      </c>
      <c r="T25" s="444" t="s">
        <v>307</v>
      </c>
      <c r="U25" s="444" t="s">
        <v>307</v>
      </c>
      <c r="V25" s="444" t="s">
        <v>307</v>
      </c>
      <c r="W25" s="444" t="s">
        <v>307</v>
      </c>
      <c r="X25" s="447" t="s">
        <v>318</v>
      </c>
      <c r="Y25" s="444" t="s">
        <v>307</v>
      </c>
      <c r="Z25" s="443"/>
      <c r="AA25" s="444" t="s">
        <v>307</v>
      </c>
      <c r="AB25" s="444" t="s">
        <v>307</v>
      </c>
      <c r="AC25" s="444" t="s">
        <v>307</v>
      </c>
      <c r="AD25" s="444" t="s">
        <v>307</v>
      </c>
      <c r="AE25" s="444" t="s">
        <v>307</v>
      </c>
      <c r="AF25" s="444" t="s">
        <v>307</v>
      </c>
      <c r="AG25" s="443"/>
      <c r="AH25" s="444" t="s">
        <v>307</v>
      </c>
    </row>
    <row r="26" spans="1:34" ht="30" x14ac:dyDescent="0.25">
      <c r="A26" s="652"/>
      <c r="B26" s="475" t="s">
        <v>327</v>
      </c>
      <c r="C26" s="444" t="s">
        <v>307</v>
      </c>
      <c r="D26" s="444" t="s">
        <v>307</v>
      </c>
      <c r="E26" s="444" t="s">
        <v>307</v>
      </c>
      <c r="F26" s="446" t="s">
        <v>308</v>
      </c>
      <c r="G26" s="444" t="s">
        <v>307</v>
      </c>
      <c r="H26" s="476" t="s">
        <v>312</v>
      </c>
      <c r="I26" s="443"/>
      <c r="J26" s="443"/>
      <c r="K26" s="444" t="s">
        <v>307</v>
      </c>
      <c r="L26" s="444" t="s">
        <v>307</v>
      </c>
      <c r="M26" s="460" t="s">
        <v>316</v>
      </c>
      <c r="N26" s="444" t="s">
        <v>307</v>
      </c>
      <c r="O26" s="444" t="s">
        <v>307</v>
      </c>
      <c r="P26" s="444" t="s">
        <v>307</v>
      </c>
      <c r="Q26" s="470" t="s">
        <v>319</v>
      </c>
      <c r="R26" s="444" t="s">
        <v>307</v>
      </c>
      <c r="S26" s="444" t="s">
        <v>307</v>
      </c>
      <c r="T26" s="444" t="s">
        <v>307</v>
      </c>
      <c r="U26" s="444" t="s">
        <v>307</v>
      </c>
      <c r="V26" s="444" t="s">
        <v>307</v>
      </c>
      <c r="W26" s="444" t="s">
        <v>307</v>
      </c>
      <c r="X26" s="444" t="s">
        <v>307</v>
      </c>
      <c r="Y26" s="447" t="s">
        <v>318</v>
      </c>
      <c r="Z26" s="443"/>
      <c r="AA26" s="444" t="s">
        <v>307</v>
      </c>
      <c r="AB26" s="444" t="s">
        <v>307</v>
      </c>
      <c r="AC26" s="444" t="s">
        <v>307</v>
      </c>
      <c r="AD26" s="444" t="s">
        <v>307</v>
      </c>
      <c r="AE26" s="444" t="s">
        <v>307</v>
      </c>
      <c r="AF26" s="444" t="s">
        <v>307</v>
      </c>
      <c r="AG26" s="443"/>
      <c r="AH26" s="444" t="s">
        <v>307</v>
      </c>
    </row>
    <row r="27" spans="1:34" ht="30" x14ac:dyDescent="0.25">
      <c r="A27" s="477"/>
      <c r="B27" s="467" t="s">
        <v>299</v>
      </c>
      <c r="C27" s="444" t="s">
        <v>307</v>
      </c>
      <c r="D27" s="444" t="s">
        <v>307</v>
      </c>
      <c r="E27" s="444" t="s">
        <v>307</v>
      </c>
      <c r="F27" s="443"/>
      <c r="G27" s="444" t="s">
        <v>307</v>
      </c>
      <c r="H27" s="444" t="s">
        <v>307</v>
      </c>
      <c r="I27" s="443"/>
      <c r="J27" s="443"/>
      <c r="K27" s="444" t="s">
        <v>307</v>
      </c>
      <c r="L27" s="443"/>
      <c r="M27" s="469"/>
      <c r="N27" s="469"/>
      <c r="O27" s="469"/>
      <c r="P27" s="444" t="s">
        <v>307</v>
      </c>
      <c r="Q27" s="443"/>
      <c r="R27" s="444" t="s">
        <v>307</v>
      </c>
      <c r="S27" s="444" t="s">
        <v>307</v>
      </c>
      <c r="T27" s="444" t="s">
        <v>307</v>
      </c>
      <c r="U27" s="443"/>
      <c r="V27" s="443"/>
      <c r="W27" s="443"/>
      <c r="X27" s="443"/>
      <c r="Y27" s="443"/>
      <c r="Z27" s="447" t="s">
        <v>318</v>
      </c>
      <c r="AA27" s="443"/>
      <c r="AB27" s="443"/>
      <c r="AC27" s="443"/>
      <c r="AD27" s="443"/>
      <c r="AE27" s="443"/>
      <c r="AF27" s="443"/>
      <c r="AG27" s="443"/>
      <c r="AH27" s="444" t="s">
        <v>307</v>
      </c>
    </row>
    <row r="28" spans="1:34" ht="18" x14ac:dyDescent="0.25">
      <c r="A28" s="641" t="s">
        <v>274</v>
      </c>
      <c r="B28" s="478" t="s">
        <v>300</v>
      </c>
      <c r="C28" s="444" t="s">
        <v>307</v>
      </c>
      <c r="D28" s="444" t="s">
        <v>307</v>
      </c>
      <c r="E28" s="444" t="s">
        <v>307</v>
      </c>
      <c r="F28" s="444" t="s">
        <v>307</v>
      </c>
      <c r="G28" s="444" t="s">
        <v>307</v>
      </c>
      <c r="H28" s="444" t="s">
        <v>307</v>
      </c>
      <c r="I28" s="443"/>
      <c r="J28" s="443"/>
      <c r="K28" s="444" t="s">
        <v>307</v>
      </c>
      <c r="L28" s="443"/>
      <c r="M28" s="443"/>
      <c r="N28" s="444" t="s">
        <v>307</v>
      </c>
      <c r="O28" s="444" t="s">
        <v>307</v>
      </c>
      <c r="P28" s="444" t="s">
        <v>307</v>
      </c>
      <c r="Q28" s="444" t="s">
        <v>307</v>
      </c>
      <c r="R28" s="444" t="s">
        <v>307</v>
      </c>
      <c r="S28" s="444" t="s">
        <v>307</v>
      </c>
      <c r="T28" s="444" t="s">
        <v>307</v>
      </c>
      <c r="U28" s="444" t="s">
        <v>307</v>
      </c>
      <c r="V28" s="444" t="s">
        <v>307</v>
      </c>
      <c r="W28" s="444" t="s">
        <v>307</v>
      </c>
      <c r="X28" s="444" t="s">
        <v>307</v>
      </c>
      <c r="Y28" s="444" t="s">
        <v>307</v>
      </c>
      <c r="Z28" s="443"/>
      <c r="AA28" s="447" t="s">
        <v>318</v>
      </c>
      <c r="AB28" s="444" t="s">
        <v>307</v>
      </c>
      <c r="AC28" s="444" t="s">
        <v>307</v>
      </c>
      <c r="AD28" s="444" t="s">
        <v>307</v>
      </c>
      <c r="AE28" s="444" t="s">
        <v>307</v>
      </c>
      <c r="AF28" s="443"/>
      <c r="AG28" s="443"/>
      <c r="AH28" s="444" t="s">
        <v>307</v>
      </c>
    </row>
    <row r="29" spans="1:34" ht="18" x14ac:dyDescent="0.25">
      <c r="A29" s="641"/>
      <c r="B29" s="478" t="s">
        <v>301</v>
      </c>
      <c r="C29" s="444" t="s">
        <v>307</v>
      </c>
      <c r="D29" s="444" t="s">
        <v>307</v>
      </c>
      <c r="E29" s="444" t="s">
        <v>307</v>
      </c>
      <c r="F29" s="444" t="s">
        <v>307</v>
      </c>
      <c r="G29" s="444" t="s">
        <v>307</v>
      </c>
      <c r="H29" s="444" t="s">
        <v>307</v>
      </c>
      <c r="I29" s="443"/>
      <c r="J29" s="443"/>
      <c r="K29" s="444" t="s">
        <v>307</v>
      </c>
      <c r="L29" s="443"/>
      <c r="M29" s="443"/>
      <c r="N29" s="444" t="s">
        <v>307</v>
      </c>
      <c r="O29" s="444" t="s">
        <v>307</v>
      </c>
      <c r="P29" s="444" t="s">
        <v>307</v>
      </c>
      <c r="Q29" s="444" t="s">
        <v>307</v>
      </c>
      <c r="R29" s="444" t="s">
        <v>307</v>
      </c>
      <c r="S29" s="444" t="s">
        <v>307</v>
      </c>
      <c r="T29" s="444" t="s">
        <v>307</v>
      </c>
      <c r="U29" s="444" t="s">
        <v>307</v>
      </c>
      <c r="V29" s="444" t="s">
        <v>307</v>
      </c>
      <c r="W29" s="444" t="s">
        <v>307</v>
      </c>
      <c r="X29" s="444" t="s">
        <v>307</v>
      </c>
      <c r="Y29" s="444" t="s">
        <v>307</v>
      </c>
      <c r="Z29" s="443"/>
      <c r="AA29" s="444" t="s">
        <v>307</v>
      </c>
      <c r="AB29" s="447" t="s">
        <v>318</v>
      </c>
      <c r="AC29" s="444" t="s">
        <v>307</v>
      </c>
      <c r="AD29" s="444" t="s">
        <v>307</v>
      </c>
      <c r="AE29" s="444" t="s">
        <v>307</v>
      </c>
      <c r="AF29" s="443"/>
      <c r="AG29" s="443"/>
      <c r="AH29" s="444" t="s">
        <v>307</v>
      </c>
    </row>
    <row r="30" spans="1:34" ht="18" x14ac:dyDescent="0.25">
      <c r="A30" s="641"/>
      <c r="B30" s="478" t="s">
        <v>302</v>
      </c>
      <c r="C30" s="444" t="s">
        <v>307</v>
      </c>
      <c r="D30" s="444" t="s">
        <v>307</v>
      </c>
      <c r="E30" s="444" t="s">
        <v>307</v>
      </c>
      <c r="F30" s="444" t="s">
        <v>307</v>
      </c>
      <c r="G30" s="444" t="s">
        <v>307</v>
      </c>
      <c r="H30" s="444" t="s">
        <v>307</v>
      </c>
      <c r="I30" s="443"/>
      <c r="J30" s="443"/>
      <c r="K30" s="444" t="s">
        <v>307</v>
      </c>
      <c r="L30" s="443"/>
      <c r="M30" s="443"/>
      <c r="N30" s="444" t="s">
        <v>307</v>
      </c>
      <c r="O30" s="444" t="s">
        <v>307</v>
      </c>
      <c r="P30" s="444" t="s">
        <v>307</v>
      </c>
      <c r="Q30" s="444" t="s">
        <v>307</v>
      </c>
      <c r="R30" s="444" t="s">
        <v>307</v>
      </c>
      <c r="S30" s="444" t="s">
        <v>307</v>
      </c>
      <c r="T30" s="444" t="s">
        <v>307</v>
      </c>
      <c r="U30" s="444" t="s">
        <v>307</v>
      </c>
      <c r="V30" s="444" t="s">
        <v>307</v>
      </c>
      <c r="W30" s="444" t="s">
        <v>307</v>
      </c>
      <c r="X30" s="444" t="s">
        <v>307</v>
      </c>
      <c r="Y30" s="444" t="s">
        <v>307</v>
      </c>
      <c r="Z30" s="443"/>
      <c r="AA30" s="444" t="s">
        <v>307</v>
      </c>
      <c r="AB30" s="444" t="s">
        <v>307</v>
      </c>
      <c r="AC30" s="447" t="s">
        <v>318</v>
      </c>
      <c r="AD30" s="444" t="s">
        <v>307</v>
      </c>
      <c r="AE30" s="444" t="s">
        <v>307</v>
      </c>
      <c r="AF30" s="443"/>
      <c r="AG30" s="443"/>
      <c r="AH30" s="444" t="s">
        <v>307</v>
      </c>
    </row>
    <row r="31" spans="1:34" ht="18" x14ac:dyDescent="0.25">
      <c r="A31" s="641"/>
      <c r="B31" s="478" t="s">
        <v>303</v>
      </c>
      <c r="C31" s="444" t="s">
        <v>307</v>
      </c>
      <c r="D31" s="444" t="s">
        <v>307</v>
      </c>
      <c r="E31" s="444" t="s">
        <v>307</v>
      </c>
      <c r="F31" s="444" t="s">
        <v>307</v>
      </c>
      <c r="G31" s="444" t="s">
        <v>307</v>
      </c>
      <c r="H31" s="444" t="s">
        <v>307</v>
      </c>
      <c r="I31" s="443"/>
      <c r="J31" s="443"/>
      <c r="K31" s="444" t="s">
        <v>307</v>
      </c>
      <c r="L31" s="443"/>
      <c r="M31" s="443"/>
      <c r="N31" s="444" t="s">
        <v>307</v>
      </c>
      <c r="O31" s="444" t="s">
        <v>307</v>
      </c>
      <c r="P31" s="444" t="s">
        <v>307</v>
      </c>
      <c r="Q31" s="444" t="s">
        <v>307</v>
      </c>
      <c r="R31" s="444" t="s">
        <v>307</v>
      </c>
      <c r="S31" s="444" t="s">
        <v>307</v>
      </c>
      <c r="T31" s="444" t="s">
        <v>307</v>
      </c>
      <c r="U31" s="444" t="s">
        <v>307</v>
      </c>
      <c r="V31" s="444" t="s">
        <v>307</v>
      </c>
      <c r="W31" s="444" t="s">
        <v>307</v>
      </c>
      <c r="X31" s="444" t="s">
        <v>307</v>
      </c>
      <c r="Y31" s="444" t="s">
        <v>307</v>
      </c>
      <c r="Z31" s="443"/>
      <c r="AA31" s="444" t="s">
        <v>307</v>
      </c>
      <c r="AB31" s="444" t="s">
        <v>307</v>
      </c>
      <c r="AC31" s="444" t="s">
        <v>307</v>
      </c>
      <c r="AD31" s="447" t="s">
        <v>318</v>
      </c>
      <c r="AE31" s="444" t="s">
        <v>307</v>
      </c>
      <c r="AF31" s="443"/>
      <c r="AG31" s="443"/>
      <c r="AH31" s="444" t="s">
        <v>307</v>
      </c>
    </row>
    <row r="32" spans="1:34" ht="18" x14ac:dyDescent="0.25">
      <c r="A32" s="641"/>
      <c r="B32" s="478" t="s">
        <v>304</v>
      </c>
      <c r="C32" s="444" t="s">
        <v>307</v>
      </c>
      <c r="D32" s="444" t="s">
        <v>307</v>
      </c>
      <c r="E32" s="444" t="s">
        <v>307</v>
      </c>
      <c r="F32" s="444" t="s">
        <v>307</v>
      </c>
      <c r="G32" s="444" t="s">
        <v>307</v>
      </c>
      <c r="H32" s="444" t="s">
        <v>307</v>
      </c>
      <c r="I32" s="443"/>
      <c r="J32" s="443"/>
      <c r="K32" s="444" t="s">
        <v>307</v>
      </c>
      <c r="L32" s="443"/>
      <c r="M32" s="443"/>
      <c r="N32" s="444" t="s">
        <v>307</v>
      </c>
      <c r="O32" s="444" t="s">
        <v>307</v>
      </c>
      <c r="P32" s="444" t="s">
        <v>307</v>
      </c>
      <c r="Q32" s="444" t="s">
        <v>307</v>
      </c>
      <c r="R32" s="444" t="s">
        <v>307</v>
      </c>
      <c r="S32" s="444" t="s">
        <v>307</v>
      </c>
      <c r="T32" s="444" t="s">
        <v>307</v>
      </c>
      <c r="U32" s="444" t="s">
        <v>307</v>
      </c>
      <c r="V32" s="444" t="s">
        <v>307</v>
      </c>
      <c r="W32" s="444" t="s">
        <v>307</v>
      </c>
      <c r="X32" s="444" t="s">
        <v>307</v>
      </c>
      <c r="Y32" s="444" t="s">
        <v>307</v>
      </c>
      <c r="Z32" s="443"/>
      <c r="AA32" s="444" t="s">
        <v>307</v>
      </c>
      <c r="AB32" s="444" t="s">
        <v>307</v>
      </c>
      <c r="AC32" s="444" t="s">
        <v>307</v>
      </c>
      <c r="AD32" s="444" t="s">
        <v>307</v>
      </c>
      <c r="AE32" s="447" t="s">
        <v>318</v>
      </c>
      <c r="AF32" s="443"/>
      <c r="AG32" s="443"/>
      <c r="AH32" s="444" t="s">
        <v>307</v>
      </c>
    </row>
    <row r="33" spans="1:34" ht="23.25" x14ac:dyDescent="0.25">
      <c r="A33" s="641" t="s">
        <v>341</v>
      </c>
      <c r="B33" s="479" t="s">
        <v>305</v>
      </c>
      <c r="C33" s="444" t="s">
        <v>307</v>
      </c>
      <c r="D33" s="444" t="s">
        <v>307</v>
      </c>
      <c r="E33" s="444" t="s">
        <v>307</v>
      </c>
      <c r="F33" s="461"/>
      <c r="G33" s="444" t="s">
        <v>307</v>
      </c>
      <c r="H33" s="454"/>
      <c r="I33" s="455" t="s">
        <v>313</v>
      </c>
      <c r="J33" s="443"/>
      <c r="K33" s="444" t="s">
        <v>307</v>
      </c>
      <c r="L33" s="443"/>
      <c r="M33" s="480"/>
      <c r="N33" s="480"/>
      <c r="O33" s="480"/>
      <c r="P33" s="444" t="s">
        <v>307</v>
      </c>
      <c r="Q33" s="444" t="s">
        <v>307</v>
      </c>
      <c r="R33" s="444" t="s">
        <v>307</v>
      </c>
      <c r="S33" s="444" t="s">
        <v>307</v>
      </c>
      <c r="T33" s="444" t="s">
        <v>307</v>
      </c>
      <c r="U33" s="444" t="s">
        <v>307</v>
      </c>
      <c r="V33" s="444" t="s">
        <v>307</v>
      </c>
      <c r="W33" s="444" t="s">
        <v>307</v>
      </c>
      <c r="X33" s="444" t="s">
        <v>307</v>
      </c>
      <c r="Y33" s="444" t="s">
        <v>307</v>
      </c>
      <c r="Z33" s="443"/>
      <c r="AA33" s="443"/>
      <c r="AB33" s="443"/>
      <c r="AC33" s="443"/>
      <c r="AD33" s="443"/>
      <c r="AE33" s="443"/>
      <c r="AF33" s="447" t="s">
        <v>318</v>
      </c>
      <c r="AG33" s="443"/>
      <c r="AH33" s="444" t="s">
        <v>307</v>
      </c>
    </row>
    <row r="34" spans="1:34" ht="23.25" x14ac:dyDescent="0.25">
      <c r="A34" s="641"/>
      <c r="B34" s="479" t="s">
        <v>227</v>
      </c>
      <c r="C34" s="444" t="s">
        <v>307</v>
      </c>
      <c r="D34" s="444" t="s">
        <v>307</v>
      </c>
      <c r="E34" s="444" t="s">
        <v>307</v>
      </c>
      <c r="F34" s="461"/>
      <c r="G34" s="443"/>
      <c r="H34" s="443"/>
      <c r="I34" s="443"/>
      <c r="J34" s="443"/>
      <c r="K34" s="443"/>
      <c r="L34" s="443"/>
      <c r="M34" s="480"/>
      <c r="N34" s="480"/>
      <c r="O34" s="480"/>
      <c r="P34" s="443"/>
      <c r="Q34" s="443"/>
      <c r="R34" s="443"/>
      <c r="S34" s="443"/>
      <c r="T34" s="444" t="s">
        <v>307</v>
      </c>
      <c r="U34" s="443"/>
      <c r="V34" s="443"/>
      <c r="W34" s="443"/>
      <c r="X34" s="443"/>
      <c r="Y34" s="443"/>
      <c r="Z34" s="443"/>
      <c r="AA34" s="443"/>
      <c r="AB34" s="443"/>
      <c r="AC34" s="443"/>
      <c r="AD34" s="443"/>
      <c r="AE34" s="443"/>
      <c r="AF34" s="443"/>
      <c r="AG34" s="447" t="s">
        <v>318</v>
      </c>
      <c r="AH34" s="451"/>
    </row>
    <row r="35" spans="1:34" ht="23.25" x14ac:dyDescent="0.25">
      <c r="A35" s="641"/>
      <c r="B35" s="479" t="s">
        <v>306</v>
      </c>
      <c r="C35" s="444" t="s">
        <v>307</v>
      </c>
      <c r="D35" s="444" t="s">
        <v>307</v>
      </c>
      <c r="E35" s="444" t="s">
        <v>307</v>
      </c>
      <c r="F35" s="444" t="s">
        <v>307</v>
      </c>
      <c r="G35" s="451"/>
      <c r="H35" s="444" t="s">
        <v>307</v>
      </c>
      <c r="I35" s="444" t="s">
        <v>307</v>
      </c>
      <c r="J35" s="444" t="s">
        <v>307</v>
      </c>
      <c r="K35" s="444" t="s">
        <v>307</v>
      </c>
      <c r="L35" s="451"/>
      <c r="M35" s="451"/>
      <c r="N35" s="451"/>
      <c r="O35" s="444" t="s">
        <v>307</v>
      </c>
      <c r="P35" s="471" t="s">
        <v>324</v>
      </c>
      <c r="Q35" s="444" t="s">
        <v>307</v>
      </c>
      <c r="R35" s="471" t="s">
        <v>324</v>
      </c>
      <c r="S35" s="471" t="s">
        <v>324</v>
      </c>
      <c r="T35" s="444" t="s">
        <v>307</v>
      </c>
      <c r="U35" s="444" t="s">
        <v>307</v>
      </c>
      <c r="V35" s="444" t="s">
        <v>307</v>
      </c>
      <c r="W35" s="444" t="s">
        <v>307</v>
      </c>
      <c r="X35" s="444" t="s">
        <v>307</v>
      </c>
      <c r="Y35" s="444" t="s">
        <v>307</v>
      </c>
      <c r="Z35" s="444" t="s">
        <v>307</v>
      </c>
      <c r="AA35" s="444" t="s">
        <v>307</v>
      </c>
      <c r="AB35" s="444" t="s">
        <v>307</v>
      </c>
      <c r="AC35" s="444" t="s">
        <v>307</v>
      </c>
      <c r="AD35" s="444" t="s">
        <v>307</v>
      </c>
      <c r="AE35" s="444" t="s">
        <v>307</v>
      </c>
      <c r="AF35" s="444" t="s">
        <v>307</v>
      </c>
      <c r="AG35" s="451"/>
      <c r="AH35" s="447" t="s">
        <v>318</v>
      </c>
    </row>
    <row r="36" spans="1:34" x14ac:dyDescent="0.25">
      <c r="L36" s="481"/>
      <c r="M36" s="481"/>
      <c r="N36" s="481"/>
      <c r="O36" s="481"/>
    </row>
    <row r="37" spans="1:34" x14ac:dyDescent="0.25">
      <c r="L37" s="481"/>
      <c r="M37" s="481"/>
      <c r="N37" s="481"/>
      <c r="O37" s="481"/>
    </row>
    <row r="38" spans="1:34" x14ac:dyDescent="0.25">
      <c r="L38" s="481"/>
      <c r="M38" s="481"/>
      <c r="N38" s="481"/>
      <c r="O38" s="481"/>
    </row>
    <row r="39" spans="1:34" x14ac:dyDescent="0.25">
      <c r="L39" s="481"/>
      <c r="M39" s="481"/>
      <c r="N39" s="481"/>
      <c r="O39" s="481"/>
    </row>
    <row r="40" spans="1:34" ht="28.15" customHeight="1" x14ac:dyDescent="0.25">
      <c r="E40" s="451"/>
      <c r="F40" s="649" t="s">
        <v>328</v>
      </c>
      <c r="G40" s="649"/>
      <c r="H40" s="649"/>
      <c r="I40" s="649"/>
      <c r="J40" s="649"/>
      <c r="K40" s="649"/>
      <c r="L40" s="649"/>
      <c r="M40" s="649"/>
      <c r="N40" s="483"/>
      <c r="O40" s="455" t="s">
        <v>313</v>
      </c>
      <c r="P40" s="644" t="s">
        <v>329</v>
      </c>
      <c r="Q40" s="644"/>
      <c r="R40" s="644"/>
      <c r="S40" s="644"/>
      <c r="T40" s="644"/>
      <c r="U40" s="644"/>
      <c r="V40" s="644"/>
      <c r="W40" s="644"/>
    </row>
    <row r="41" spans="1:34" ht="28.15" customHeight="1" x14ac:dyDescent="0.25">
      <c r="E41" s="484" t="s">
        <v>307</v>
      </c>
      <c r="F41" s="645" t="s">
        <v>330</v>
      </c>
      <c r="G41" s="645"/>
      <c r="H41" s="645"/>
      <c r="I41" s="645"/>
      <c r="J41" s="645"/>
      <c r="K41" s="645"/>
      <c r="L41" s="645"/>
      <c r="M41" s="645"/>
      <c r="N41" s="485"/>
      <c r="O41" s="486" t="s">
        <v>331</v>
      </c>
      <c r="P41" s="643" t="s">
        <v>332</v>
      </c>
      <c r="Q41" s="643"/>
      <c r="R41" s="643"/>
      <c r="S41" s="643"/>
      <c r="T41" s="643"/>
      <c r="U41" s="643"/>
      <c r="V41" s="643"/>
      <c r="W41" s="643"/>
    </row>
    <row r="42" spans="1:34" ht="28.15" customHeight="1" x14ac:dyDescent="0.25">
      <c r="E42" s="487" t="s">
        <v>324</v>
      </c>
      <c r="F42" s="646" t="s">
        <v>333</v>
      </c>
      <c r="G42" s="647"/>
      <c r="H42" s="647"/>
      <c r="I42" s="647"/>
      <c r="J42" s="647"/>
      <c r="K42" s="647"/>
      <c r="L42" s="647"/>
      <c r="M42" s="648"/>
      <c r="N42" s="488"/>
      <c r="O42" s="489" t="s">
        <v>319</v>
      </c>
      <c r="P42" s="643" t="s">
        <v>334</v>
      </c>
      <c r="Q42" s="643"/>
      <c r="R42" s="643"/>
      <c r="S42" s="643"/>
      <c r="T42" s="643"/>
      <c r="U42" s="643"/>
      <c r="V42" s="643"/>
      <c r="W42" s="643"/>
    </row>
    <row r="43" spans="1:34" ht="28.15" customHeight="1" x14ac:dyDescent="0.35">
      <c r="E43" s="490" t="s">
        <v>308</v>
      </c>
      <c r="F43" s="642" t="s">
        <v>335</v>
      </c>
      <c r="G43" s="642"/>
      <c r="H43" s="642"/>
      <c r="I43" s="642"/>
      <c r="J43" s="642"/>
      <c r="K43" s="642"/>
      <c r="L43" s="642"/>
      <c r="M43" s="642"/>
      <c r="N43" s="491"/>
      <c r="O43" s="492" t="s">
        <v>312</v>
      </c>
      <c r="P43" s="643" t="s">
        <v>336</v>
      </c>
      <c r="Q43" s="643"/>
      <c r="R43" s="643"/>
      <c r="S43" s="643"/>
      <c r="T43" s="643"/>
      <c r="U43" s="643"/>
      <c r="V43" s="643"/>
      <c r="W43" s="643"/>
    </row>
    <row r="44" spans="1:34" ht="28.15" customHeight="1" x14ac:dyDescent="0.3">
      <c r="E44" s="460" t="s">
        <v>316</v>
      </c>
      <c r="F44" s="642" t="s">
        <v>337</v>
      </c>
      <c r="G44" s="642"/>
      <c r="H44" s="642"/>
      <c r="I44" s="642"/>
      <c r="J44" s="642"/>
      <c r="K44" s="642"/>
      <c r="L44" s="642"/>
      <c r="M44" s="642"/>
      <c r="N44" s="491"/>
      <c r="O44" s="493" t="s">
        <v>338</v>
      </c>
      <c r="P44" s="643" t="s">
        <v>339</v>
      </c>
      <c r="Q44" s="643"/>
      <c r="R44" s="643"/>
      <c r="S44" s="643"/>
      <c r="T44" s="643"/>
      <c r="U44" s="643"/>
      <c r="V44" s="643"/>
      <c r="W44" s="643"/>
    </row>
    <row r="45" spans="1:34" ht="28.15" customHeight="1" x14ac:dyDescent="0.3">
      <c r="O45" s="494"/>
      <c r="P45" s="643" t="s">
        <v>340</v>
      </c>
      <c r="Q45" s="643"/>
      <c r="R45" s="643"/>
      <c r="S45" s="643"/>
      <c r="T45" s="643"/>
      <c r="U45" s="643"/>
      <c r="V45" s="643"/>
      <c r="W45" s="643"/>
    </row>
  </sheetData>
  <sheetProtection algorithmName="SHA-512" hashValue="UJq5R53cxsbX7VUH8d6P4a4obXpNpom7BLLLNhSXeucqte0QaaBIwQ7eO9Pel9K5I48dfTGFxBHXkUDoLQIa0w==" saltValue="SieUr7O3T7E1DugBWrHBpw==" spinCount="100000" sheet="1" objects="1" scenarios="1"/>
  <mergeCells count="22">
    <mergeCell ref="AF2:AH2"/>
    <mergeCell ref="C15:H15"/>
    <mergeCell ref="A17:A20"/>
    <mergeCell ref="A22:A26"/>
    <mergeCell ref="A28:A32"/>
    <mergeCell ref="N8:N12"/>
    <mergeCell ref="B2:B3"/>
    <mergeCell ref="P2:S2"/>
    <mergeCell ref="U2:Y2"/>
    <mergeCell ref="AA2:AE2"/>
    <mergeCell ref="A33:A35"/>
    <mergeCell ref="F44:M44"/>
    <mergeCell ref="P44:W44"/>
    <mergeCell ref="P45:W45"/>
    <mergeCell ref="P40:W40"/>
    <mergeCell ref="F41:M41"/>
    <mergeCell ref="P41:W41"/>
    <mergeCell ref="F42:M42"/>
    <mergeCell ref="P42:W42"/>
    <mergeCell ref="F43:M43"/>
    <mergeCell ref="P43:W43"/>
    <mergeCell ref="F40:M40"/>
  </mergeCells>
  <conditionalFormatting sqref="C13:K13 C9:G9 D4:L4 M13 L12 C11:I11 K11:L11 J10:L10 C8:F8 H8:L8 C7:E7 C6:D6 F6:L6 C5 E5:L5 G7:L7 I9:L9 C12:J12 C10:H10">
    <cfRule type="containsText" dxfId="99" priority="100" operator="containsText" text="▬">
      <formula>NOT(ISERROR(SEARCH("▬",C4)))</formula>
    </cfRule>
  </conditionalFormatting>
  <conditionalFormatting sqref="C11:I11 C9:G9 D4:L4 C13:K13 M13 L12 K11:L11 J10:L10 C8:F8 H8:L8 C7:E7 C6:D6 F6:L6 C5 E5:L5 G7:L7 I9:L9 C12:J12 C10:H10">
    <cfRule type="containsText" dxfId="98" priority="91" operator="containsText" text="▲">
      <formula>NOT(ISERROR(SEARCH("▲",C4)))</formula>
    </cfRule>
    <cfRule type="containsText" dxfId="97" priority="92" operator="containsText" text="( ) ">
      <formula>NOT(ISERROR(SEARCH("( ) ",C4)))</formula>
    </cfRule>
    <cfRule type="containsText" dxfId="96" priority="93" operator="containsText" text="↙">
      <formula>NOT(ISERROR(SEARCH("↙",C4)))</formula>
    </cfRule>
    <cfRule type="containsText" dxfId="95" priority="94" operator="containsText" text="↓">
      <formula>NOT(ISERROR(SEARCH("↓",C4)))</formula>
    </cfRule>
    <cfRule type="containsText" dxfId="94" priority="95" operator="containsText" text="▬">
      <formula>NOT(ISERROR(SEARCH("▬",C4)))</formula>
    </cfRule>
    <cfRule type="containsText" dxfId="93" priority="96" operator="containsText" text="ꓕ">
      <formula>NOT(ISERROR(SEARCH("ꓕ",C4)))</formula>
    </cfRule>
    <cfRule type="containsBlanks" dxfId="92" priority="97">
      <formula>LEN(TRIM(C4))=0</formula>
    </cfRule>
    <cfRule type="containsText" dxfId="91" priority="98" operator="containsText" text="↓">
      <formula>NOT(ISERROR(SEARCH("↓",C4)))</formula>
    </cfRule>
    <cfRule type="containsText" dxfId="90" priority="99" operator="containsText" text="ꓕ">
      <formula>NOT(ISERROR(SEARCH("ꓕ",C4)))</formula>
    </cfRule>
  </conditionalFormatting>
  <conditionalFormatting sqref="L14">
    <cfRule type="containsText" dxfId="89" priority="90" operator="containsText" text="▬">
      <formula>NOT(ISERROR(SEARCH("▬",L14)))</formula>
    </cfRule>
  </conditionalFormatting>
  <conditionalFormatting sqref="L14">
    <cfRule type="containsText" dxfId="88" priority="81" operator="containsText" text="▲">
      <formula>NOT(ISERROR(SEARCH("▲",L14)))</formula>
    </cfRule>
    <cfRule type="containsText" dxfId="87" priority="82" operator="containsText" text="( ) ">
      <formula>NOT(ISERROR(SEARCH("( ) ",L14)))</formula>
    </cfRule>
    <cfRule type="containsText" dxfId="86" priority="83" operator="containsText" text="↙">
      <formula>NOT(ISERROR(SEARCH("↙",L14)))</formula>
    </cfRule>
    <cfRule type="containsText" dxfId="85" priority="84" operator="containsText" text="↓">
      <formula>NOT(ISERROR(SEARCH("↓",L14)))</formula>
    </cfRule>
    <cfRule type="containsText" dxfId="84" priority="85" operator="containsText" text="▬">
      <formula>NOT(ISERROR(SEARCH("▬",L14)))</formula>
    </cfRule>
    <cfRule type="containsText" dxfId="83" priority="86" operator="containsText" text="ꓕ">
      <formula>NOT(ISERROR(SEARCH("ꓕ",L14)))</formula>
    </cfRule>
    <cfRule type="containsBlanks" dxfId="82" priority="87">
      <formula>LEN(TRIM(L14))=0</formula>
    </cfRule>
    <cfRule type="containsText" dxfId="81" priority="88" operator="containsText" text="↓">
      <formula>NOT(ISERROR(SEARCH("↓",L14)))</formula>
    </cfRule>
    <cfRule type="containsText" dxfId="80" priority="89" operator="containsText" text="ꓕ">
      <formula>NOT(ISERROR(SEARCH("ꓕ",L14)))</formula>
    </cfRule>
  </conditionalFormatting>
  <conditionalFormatting sqref="C14:J14">
    <cfRule type="containsText" dxfId="79" priority="80" operator="containsText" text="▬">
      <formula>NOT(ISERROR(SEARCH("▬",C14)))</formula>
    </cfRule>
  </conditionalFormatting>
  <conditionalFormatting sqref="C14:J14">
    <cfRule type="containsText" dxfId="78" priority="71" operator="containsText" text="▲">
      <formula>NOT(ISERROR(SEARCH("▲",C14)))</formula>
    </cfRule>
    <cfRule type="containsText" dxfId="77" priority="72" operator="containsText" text="( ) ">
      <formula>NOT(ISERROR(SEARCH("( ) ",C14)))</formula>
    </cfRule>
    <cfRule type="containsText" dxfId="76" priority="73" operator="containsText" text="↙">
      <formula>NOT(ISERROR(SEARCH("↙",C14)))</formula>
    </cfRule>
    <cfRule type="containsText" dxfId="75" priority="74" operator="containsText" text="↓">
      <formula>NOT(ISERROR(SEARCH("↓",C14)))</formula>
    </cfRule>
    <cfRule type="containsText" dxfId="74" priority="75" operator="containsText" text="▬">
      <formula>NOT(ISERROR(SEARCH("▬",C14)))</formula>
    </cfRule>
    <cfRule type="containsText" dxfId="73" priority="76" operator="containsText" text="ꓕ">
      <formula>NOT(ISERROR(SEARCH("ꓕ",C14)))</formula>
    </cfRule>
    <cfRule type="containsBlanks" dxfId="72" priority="77">
      <formula>LEN(TRIM(C14))=0</formula>
    </cfRule>
    <cfRule type="containsText" dxfId="71" priority="78" operator="containsText" text="↓">
      <formula>NOT(ISERROR(SEARCH("↓",C14)))</formula>
    </cfRule>
    <cfRule type="containsText" dxfId="70" priority="79" operator="containsText" text="ꓕ">
      <formula>NOT(ISERROR(SEARCH("ꓕ",C14)))</formula>
    </cfRule>
  </conditionalFormatting>
  <conditionalFormatting sqref="M4:M12">
    <cfRule type="containsText" dxfId="69" priority="70" operator="containsText" text="▬">
      <formula>NOT(ISERROR(SEARCH("▬",M4)))</formula>
    </cfRule>
  </conditionalFormatting>
  <conditionalFormatting sqref="M4:M12">
    <cfRule type="containsText" dxfId="68" priority="61" operator="containsText" text="▲">
      <formula>NOT(ISERROR(SEARCH("▲",M4)))</formula>
    </cfRule>
    <cfRule type="containsText" dxfId="67" priority="62" operator="containsText" text="( ) ">
      <formula>NOT(ISERROR(SEARCH("( ) ",M4)))</formula>
    </cfRule>
    <cfRule type="containsText" dxfId="66" priority="63" operator="containsText" text="↙">
      <formula>NOT(ISERROR(SEARCH("↙",M4)))</formula>
    </cfRule>
    <cfRule type="containsText" dxfId="65" priority="64" operator="containsText" text="↓">
      <formula>NOT(ISERROR(SEARCH("↓",M4)))</formula>
    </cfRule>
    <cfRule type="containsText" dxfId="64" priority="65" operator="containsText" text="▬">
      <formula>NOT(ISERROR(SEARCH("▬",M4)))</formula>
    </cfRule>
    <cfRule type="containsText" dxfId="63" priority="66" operator="containsText" text="ꓕ">
      <formula>NOT(ISERROR(SEARCH("ꓕ",M4)))</formula>
    </cfRule>
    <cfRule type="containsBlanks" dxfId="62" priority="67">
      <formula>LEN(TRIM(M4))=0</formula>
    </cfRule>
    <cfRule type="containsText" dxfId="61" priority="68" operator="containsText" text="↓">
      <formula>NOT(ISERROR(SEARCH("↓",M4)))</formula>
    </cfRule>
    <cfRule type="containsText" dxfId="60" priority="69" operator="containsText" text="ꓕ">
      <formula>NOT(ISERROR(SEARCH("ꓕ",M4)))</formula>
    </cfRule>
  </conditionalFormatting>
  <conditionalFormatting sqref="K14">
    <cfRule type="containsText" dxfId="59" priority="60" operator="containsText" text="▬">
      <formula>NOT(ISERROR(SEARCH("▬",K14)))</formula>
    </cfRule>
  </conditionalFormatting>
  <conditionalFormatting sqref="K14">
    <cfRule type="containsText" dxfId="58" priority="51" operator="containsText" text="▲">
      <formula>NOT(ISERROR(SEARCH("▲",K14)))</formula>
    </cfRule>
    <cfRule type="containsText" dxfId="57" priority="52" operator="containsText" text="( ) ">
      <formula>NOT(ISERROR(SEARCH("( ) ",K14)))</formula>
    </cfRule>
    <cfRule type="containsText" dxfId="56" priority="53" operator="containsText" text="↙">
      <formula>NOT(ISERROR(SEARCH("↙",K14)))</formula>
    </cfRule>
    <cfRule type="containsText" dxfId="55" priority="54" operator="containsText" text="↓">
      <formula>NOT(ISERROR(SEARCH("↓",K14)))</formula>
    </cfRule>
    <cfRule type="containsText" dxfId="54" priority="55" operator="containsText" text="▬">
      <formula>NOT(ISERROR(SEARCH("▬",K14)))</formula>
    </cfRule>
    <cfRule type="containsText" dxfId="53" priority="56" operator="containsText" text="ꓕ">
      <formula>NOT(ISERROR(SEARCH("ꓕ",K14)))</formula>
    </cfRule>
    <cfRule type="containsBlanks" dxfId="52" priority="57">
      <formula>LEN(TRIM(K14))=0</formula>
    </cfRule>
    <cfRule type="containsText" dxfId="51" priority="58" operator="containsText" text="↓">
      <formula>NOT(ISERROR(SEARCH("↓",K14)))</formula>
    </cfRule>
    <cfRule type="containsText" dxfId="50" priority="59" operator="containsText" text="ꓕ">
      <formula>NOT(ISERROR(SEARCH("ꓕ",K14)))</formula>
    </cfRule>
  </conditionalFormatting>
  <conditionalFormatting sqref="O13:O14">
    <cfRule type="containsText" dxfId="49" priority="50" operator="containsText" text="▬">
      <formula>NOT(ISERROR(SEARCH("▬",O13)))</formula>
    </cfRule>
  </conditionalFormatting>
  <conditionalFormatting sqref="O13:O14">
    <cfRule type="containsText" dxfId="48" priority="41" operator="containsText" text="▲">
      <formula>NOT(ISERROR(SEARCH("▲",O13)))</formula>
    </cfRule>
    <cfRule type="containsText" dxfId="47" priority="42" operator="containsText" text="( ) ">
      <formula>NOT(ISERROR(SEARCH("( ) ",O13)))</formula>
    </cfRule>
    <cfRule type="containsText" dxfId="46" priority="43" operator="containsText" text="↙">
      <formula>NOT(ISERROR(SEARCH("↙",O13)))</formula>
    </cfRule>
    <cfRule type="containsText" dxfId="45" priority="44" operator="containsText" text="↓">
      <formula>NOT(ISERROR(SEARCH("↓",O13)))</formula>
    </cfRule>
    <cfRule type="containsText" dxfId="44" priority="45" operator="containsText" text="▬">
      <formula>NOT(ISERROR(SEARCH("▬",O13)))</formula>
    </cfRule>
    <cfRule type="containsText" dxfId="43" priority="46" operator="containsText" text="ꓕ">
      <formula>NOT(ISERROR(SEARCH("ꓕ",O13)))</formula>
    </cfRule>
    <cfRule type="containsBlanks" dxfId="42" priority="47">
      <formula>LEN(TRIM(O13))=0</formula>
    </cfRule>
    <cfRule type="containsText" dxfId="41" priority="48" operator="containsText" text="↓">
      <formula>NOT(ISERROR(SEARCH("↓",O13)))</formula>
    </cfRule>
    <cfRule type="containsText" dxfId="40" priority="49" operator="containsText" text="ꓕ">
      <formula>NOT(ISERROR(SEARCH("ꓕ",O13)))</formula>
    </cfRule>
  </conditionalFormatting>
  <conditionalFormatting sqref="O4:O12">
    <cfRule type="containsText" dxfId="39" priority="40" operator="containsText" text="▬">
      <formula>NOT(ISERROR(SEARCH("▬",O4)))</formula>
    </cfRule>
  </conditionalFormatting>
  <conditionalFormatting sqref="O4:O12">
    <cfRule type="containsText" dxfId="38" priority="31" operator="containsText" text="▲">
      <formula>NOT(ISERROR(SEARCH("▲",O4)))</formula>
    </cfRule>
    <cfRule type="containsText" dxfId="37" priority="32" operator="containsText" text="( ) ">
      <formula>NOT(ISERROR(SEARCH("( ) ",O4)))</formula>
    </cfRule>
    <cfRule type="containsText" dxfId="36" priority="33" operator="containsText" text="↙">
      <formula>NOT(ISERROR(SEARCH("↙",O4)))</formula>
    </cfRule>
    <cfRule type="containsText" dxfId="35" priority="34" operator="containsText" text="↓">
      <formula>NOT(ISERROR(SEARCH("↓",O4)))</formula>
    </cfRule>
    <cfRule type="containsText" dxfId="34" priority="35" operator="containsText" text="▬">
      <formula>NOT(ISERROR(SEARCH("▬",O4)))</formula>
    </cfRule>
    <cfRule type="containsText" dxfId="33" priority="36" operator="containsText" text="ꓕ">
      <formula>NOT(ISERROR(SEARCH("ꓕ",O4)))</formula>
    </cfRule>
    <cfRule type="containsBlanks" dxfId="32" priority="37">
      <formula>LEN(TRIM(O4))=0</formula>
    </cfRule>
    <cfRule type="containsText" dxfId="31" priority="38" operator="containsText" text="↓">
      <formula>NOT(ISERROR(SEARCH("↓",O4)))</formula>
    </cfRule>
    <cfRule type="containsText" dxfId="30" priority="39" operator="containsText" text="ꓕ">
      <formula>NOT(ISERROR(SEARCH("ꓕ",O4)))</formula>
    </cfRule>
  </conditionalFormatting>
  <conditionalFormatting sqref="M16">
    <cfRule type="containsText" dxfId="29" priority="30" operator="containsText" text="▬">
      <formula>NOT(ISERROR(SEARCH("▬",M16)))</formula>
    </cfRule>
  </conditionalFormatting>
  <conditionalFormatting sqref="M16">
    <cfRule type="containsText" dxfId="28" priority="21" operator="containsText" text="▲">
      <formula>NOT(ISERROR(SEARCH("▲",M16)))</formula>
    </cfRule>
    <cfRule type="containsText" dxfId="27" priority="22" operator="containsText" text="( ) ">
      <formula>NOT(ISERROR(SEARCH("( ) ",M16)))</formula>
    </cfRule>
    <cfRule type="containsText" dxfId="26" priority="23" operator="containsText" text="↙">
      <formula>NOT(ISERROR(SEARCH("↙",M16)))</formula>
    </cfRule>
    <cfRule type="containsText" dxfId="25" priority="24" operator="containsText" text="↓">
      <formula>NOT(ISERROR(SEARCH("↓",M16)))</formula>
    </cfRule>
    <cfRule type="containsText" dxfId="24" priority="25" operator="containsText" text="▬">
      <formula>NOT(ISERROR(SEARCH("▬",M16)))</formula>
    </cfRule>
    <cfRule type="containsText" dxfId="23" priority="26" operator="containsText" text="ꓕ">
      <formula>NOT(ISERROR(SEARCH("ꓕ",M16)))</formula>
    </cfRule>
    <cfRule type="containsBlanks" dxfId="22" priority="27">
      <formula>LEN(TRIM(M16))=0</formula>
    </cfRule>
    <cfRule type="containsText" dxfId="21" priority="28" operator="containsText" text="↓">
      <formula>NOT(ISERROR(SEARCH("↓",M16)))</formula>
    </cfRule>
    <cfRule type="containsText" dxfId="20" priority="29" operator="containsText" text="ꓕ">
      <formula>NOT(ISERROR(SEARCH("ꓕ",M16)))</formula>
    </cfRule>
  </conditionalFormatting>
  <conditionalFormatting sqref="L16">
    <cfRule type="containsText" dxfId="19" priority="20" operator="containsText" text="▬">
      <formula>NOT(ISERROR(SEARCH("▬",L16)))</formula>
    </cfRule>
  </conditionalFormatting>
  <conditionalFormatting sqref="L16">
    <cfRule type="containsText" dxfId="18" priority="11" operator="containsText" text="▲">
      <formula>NOT(ISERROR(SEARCH("▲",L16)))</formula>
    </cfRule>
    <cfRule type="containsText" dxfId="17" priority="12" operator="containsText" text="( ) ">
      <formula>NOT(ISERROR(SEARCH("( ) ",L16)))</formula>
    </cfRule>
    <cfRule type="containsText" dxfId="16" priority="13" operator="containsText" text="↙">
      <formula>NOT(ISERROR(SEARCH("↙",L16)))</formula>
    </cfRule>
    <cfRule type="containsText" dxfId="15" priority="14" operator="containsText" text="↓">
      <formula>NOT(ISERROR(SEARCH("↓",L16)))</formula>
    </cfRule>
    <cfRule type="containsText" dxfId="14" priority="15" operator="containsText" text="▬">
      <formula>NOT(ISERROR(SEARCH("▬",L16)))</formula>
    </cfRule>
    <cfRule type="containsText" dxfId="13" priority="16" operator="containsText" text="ꓕ">
      <formula>NOT(ISERROR(SEARCH("ꓕ",L16)))</formula>
    </cfRule>
    <cfRule type="containsBlanks" dxfId="12" priority="17">
      <formula>LEN(TRIM(L16))=0</formula>
    </cfRule>
    <cfRule type="containsText" dxfId="11" priority="18" operator="containsText" text="↓">
      <formula>NOT(ISERROR(SEARCH("↓",L16)))</formula>
    </cfRule>
    <cfRule type="containsText" dxfId="10" priority="19" operator="containsText" text="ꓕ">
      <formula>NOT(ISERROR(SEARCH("ꓕ",L16)))</formula>
    </cfRule>
  </conditionalFormatting>
  <conditionalFormatting sqref="C16:K16">
    <cfRule type="containsText" dxfId="9" priority="10" operator="containsText" text="▬">
      <formula>NOT(ISERROR(SEARCH("▬",C16)))</formula>
    </cfRule>
  </conditionalFormatting>
  <conditionalFormatting sqref="C16:K16">
    <cfRule type="containsText" dxfId="8" priority="1" operator="containsText" text="▲">
      <formula>NOT(ISERROR(SEARCH("▲",C16)))</formula>
    </cfRule>
    <cfRule type="containsText" dxfId="7" priority="2" operator="containsText" text="( ) ">
      <formula>NOT(ISERROR(SEARCH("( ) ",C16)))</formula>
    </cfRule>
    <cfRule type="containsText" dxfId="6" priority="3" operator="containsText" text="↙">
      <formula>NOT(ISERROR(SEARCH("↙",C16)))</formula>
    </cfRule>
    <cfRule type="containsText" dxfId="5" priority="4" operator="containsText" text="↓">
      <formula>NOT(ISERROR(SEARCH("↓",C16)))</formula>
    </cfRule>
    <cfRule type="containsText" dxfId="4" priority="5" operator="containsText" text="▬">
      <formula>NOT(ISERROR(SEARCH("▬",C16)))</formula>
    </cfRule>
    <cfRule type="containsText" dxfId="3" priority="6" operator="containsText" text="ꓕ">
      <formula>NOT(ISERROR(SEARCH("ꓕ",C16)))</formula>
    </cfRule>
    <cfRule type="containsBlanks" dxfId="2" priority="7">
      <formula>LEN(TRIM(C16))=0</formula>
    </cfRule>
    <cfRule type="containsText" dxfId="1" priority="8" operator="containsText" text="↓">
      <formula>NOT(ISERROR(SEARCH("↓",C16)))</formula>
    </cfRule>
    <cfRule type="containsText" dxfId="0" priority="9" operator="containsText" text="ꓕ">
      <formula>NOT(ISERROR(SEARCH("ꓕ",C16)))</formula>
    </cfRule>
  </conditionalFormatting>
  <pageMargins left="0.7" right="0.7" top="0.78740157499999996" bottom="0.78740157499999996" header="0.3" footer="0.3"/>
  <legacy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Anleitung</vt:lpstr>
      <vt:lpstr>Betriebsdaten</vt:lpstr>
      <vt:lpstr>Rechner</vt:lpstr>
      <vt:lpstr>Ergebnisse</vt:lpstr>
      <vt:lpstr>Kombinationstabelle</vt:lpstr>
      <vt:lpstr>Ergebnisse!Druckbereich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Schröder, Henning</dc:creator>
  <cp:lastModifiedBy>Skibbe, Andrea</cp:lastModifiedBy>
  <cp:lastPrinted>2023-04-06T08:49:26Z</cp:lastPrinted>
  <dcterms:created xsi:type="dcterms:W3CDTF">2022-10-13T12:11:27Z</dcterms:created>
  <dcterms:modified xsi:type="dcterms:W3CDTF">2023-04-12T08:57:58Z</dcterms:modified>
</cp:coreProperties>
</file>